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2"/>
  <workbookPr/>
  <bookViews>
    <workbookView xWindow="484" yWindow="92" windowWidth="15199" windowHeight="13484" tabRatio="853" xr2:uid="{00000000-000D-0000-FFFF-FFFF00000000}"/>
  </bookViews>
  <sheets>
    <sheet name="OffenceDmg" sheetId="32" r:id="rId1"/>
    <sheet name="OutgHeal" sheetId="33" r:id="rId2"/>
    <sheet name="CritHit" sheetId="7" r:id="rId3"/>
    <sheet name="CritMagn" sheetId="30" r:id="rId4"/>
    <sheet name="Finesse" sheetId="31" r:id="rId5"/>
    <sheet name="Resistance" sheetId="35" r:id="rId6"/>
    <sheet name="CritDef" sheetId="36" r:id="rId7"/>
    <sheet name="IncHeal" sheetId="37" r:id="rId8"/>
    <sheet name="Full-BPE" sheetId="46" r:id="rId9"/>
    <sheet name="Part-BPE" sheetId="47" r:id="rId10"/>
    <sheet name="Part-BPE-Mit" sheetId="48" r:id="rId11"/>
    <sheet name="Full-Part-BPE" sheetId="53" r:id="rId12"/>
    <sheet name="BPE-Comp" sheetId="52" r:id="rId13"/>
    <sheet name="Mit-LightA" sheetId="49" r:id="rId14"/>
    <sheet name="Mit-MediumA" sheetId="50" r:id="rId15"/>
    <sheet name="Mit-HeavyA" sheetId="51" r:id="rId16"/>
  </sheets>
  <calcPr calcId="171026"/>
</workbook>
</file>

<file path=xl/calcChain.xml><?xml version="1.0" encoding="utf-8"?>
<calcChain xmlns="http://schemas.openxmlformats.org/spreadsheetml/2006/main">
  <c r="Q11" i="53" l="1"/>
  <c r="M11" i="53"/>
  <c r="O7" i="53"/>
  <c r="J1" i="46"/>
  <c r="K8" i="46"/>
  <c r="K8" i="53"/>
  <c r="J8" i="53"/>
  <c r="K7" i="46"/>
  <c r="K7" i="53"/>
  <c r="J7" i="53"/>
  <c r="G9" i="53"/>
  <c r="F9" i="53"/>
  <c r="F8" i="53"/>
  <c r="J1" i="53"/>
  <c r="G5" i="51"/>
  <c r="F5" i="51"/>
  <c r="F4" i="51"/>
  <c r="K7" i="51"/>
  <c r="J1" i="51"/>
  <c r="A4" i="51"/>
  <c r="G5" i="50"/>
  <c r="F5" i="50"/>
  <c r="D5" i="50"/>
  <c r="F4" i="50"/>
  <c r="D4" i="50"/>
  <c r="D3" i="50"/>
  <c r="K7" i="50"/>
  <c r="J1" i="50"/>
  <c r="K8" i="50"/>
  <c r="K7" i="37"/>
  <c r="K7" i="36"/>
  <c r="K7" i="31"/>
  <c r="K7" i="30"/>
  <c r="K7" i="7"/>
  <c r="K7" i="33"/>
  <c r="K7" i="32"/>
  <c r="G5" i="49"/>
  <c r="F5" i="49"/>
  <c r="F4" i="49"/>
  <c r="K7" i="49"/>
  <c r="J1" i="49"/>
  <c r="K8" i="49"/>
  <c r="K7" i="48"/>
  <c r="K7" i="47"/>
  <c r="K7" i="35"/>
  <c r="G7" i="48"/>
  <c r="F7" i="48"/>
  <c r="F6" i="48"/>
  <c r="J1" i="48"/>
  <c r="A4" i="48"/>
  <c r="G9" i="47"/>
  <c r="F9" i="47"/>
  <c r="F8" i="47"/>
  <c r="J1" i="47"/>
  <c r="K8" i="47"/>
  <c r="G6" i="46"/>
  <c r="F6" i="46"/>
  <c r="A3" i="53"/>
  <c r="A4" i="53"/>
  <c r="A5" i="53"/>
  <c r="O8" i="53"/>
  <c r="A6" i="53"/>
  <c r="A9" i="53"/>
  <c r="A8" i="53"/>
  <c r="A7" i="53"/>
  <c r="A3" i="50"/>
  <c r="A6" i="46"/>
  <c r="A5" i="47"/>
  <c r="A7" i="47"/>
  <c r="A5" i="51"/>
  <c r="A3" i="51"/>
  <c r="K8" i="51"/>
  <c r="A4" i="50"/>
  <c r="A5" i="50"/>
  <c r="A5" i="49"/>
  <c r="A3" i="49"/>
  <c r="A4" i="49"/>
  <c r="A3" i="47"/>
  <c r="A5" i="46"/>
  <c r="A4" i="47"/>
  <c r="A8" i="47"/>
  <c r="A6" i="47"/>
  <c r="A9" i="47"/>
  <c r="A7" i="48"/>
  <c r="A3" i="48"/>
  <c r="A5" i="48"/>
  <c r="A6" i="48"/>
  <c r="K8" i="48"/>
  <c r="A3" i="46"/>
  <c r="A4" i="46"/>
  <c r="G6" i="37"/>
  <c r="F6" i="37"/>
  <c r="F5" i="37"/>
  <c r="J1" i="37"/>
  <c r="A5" i="37"/>
  <c r="J1" i="36"/>
  <c r="A4" i="36"/>
  <c r="G4" i="36"/>
  <c r="F4" i="36"/>
  <c r="G5" i="35"/>
  <c r="F5" i="35"/>
  <c r="F4" i="35"/>
  <c r="J1" i="35"/>
  <c r="G6" i="33"/>
  <c r="F6" i="33"/>
  <c r="J1" i="33"/>
  <c r="A5" i="33"/>
  <c r="J1" i="31"/>
  <c r="J1" i="30"/>
  <c r="J1" i="7"/>
  <c r="A12" i="32"/>
  <c r="A11" i="32"/>
  <c r="A10" i="32"/>
  <c r="A9" i="32"/>
  <c r="A8" i="32"/>
  <c r="A7" i="32"/>
  <c r="A6" i="32"/>
  <c r="A5" i="32"/>
  <c r="A4" i="32"/>
  <c r="D12" i="32"/>
  <c r="F11" i="32"/>
  <c r="D11" i="32"/>
  <c r="G10" i="32"/>
  <c r="F10" i="32"/>
  <c r="D10" i="32"/>
  <c r="F9" i="32"/>
  <c r="D9" i="32"/>
  <c r="G8" i="32"/>
  <c r="F8" i="32"/>
  <c r="D8" i="32"/>
  <c r="F7" i="32"/>
  <c r="D7" i="32"/>
  <c r="D6" i="32"/>
  <c r="F5" i="32"/>
  <c r="D5" i="32"/>
  <c r="G4" i="32"/>
  <c r="F4" i="32"/>
  <c r="D4" i="32"/>
  <c r="D3" i="32"/>
  <c r="A3" i="32"/>
  <c r="O4" i="53"/>
  <c r="N6" i="53"/>
  <c r="O6" i="53"/>
  <c r="N4" i="53"/>
  <c r="K4" i="51"/>
  <c r="J6" i="50"/>
  <c r="K6" i="50"/>
  <c r="K4" i="32"/>
  <c r="J4" i="32"/>
  <c r="D27" i="32"/>
  <c r="I61" i="32"/>
  <c r="J6" i="32"/>
  <c r="K6" i="32"/>
  <c r="J6" i="48"/>
  <c r="K4" i="50"/>
  <c r="J4" i="51"/>
  <c r="J6" i="51"/>
  <c r="K6" i="51"/>
  <c r="J4" i="50"/>
  <c r="J4" i="48"/>
  <c r="J6" i="49"/>
  <c r="K6" i="49"/>
  <c r="K4" i="49"/>
  <c r="J4" i="49"/>
  <c r="A6" i="33"/>
  <c r="J4" i="46"/>
  <c r="J6" i="46"/>
  <c r="J6" i="53"/>
  <c r="K4" i="46"/>
  <c r="K4" i="53"/>
  <c r="A4" i="35"/>
  <c r="K8" i="35"/>
  <c r="K4" i="48"/>
  <c r="K6" i="48"/>
  <c r="J6" i="47"/>
  <c r="K6" i="47"/>
  <c r="J4" i="47"/>
  <c r="K4" i="47"/>
  <c r="A4" i="37"/>
  <c r="A6" i="37"/>
  <c r="A3" i="37"/>
  <c r="A3" i="36"/>
  <c r="A5" i="35"/>
  <c r="A3" i="35"/>
  <c r="A3" i="33"/>
  <c r="A4" i="33"/>
  <c r="G4" i="31"/>
  <c r="F4" i="31"/>
  <c r="A4" i="31"/>
  <c r="A3" i="31"/>
  <c r="A4" i="30"/>
  <c r="A3" i="30"/>
  <c r="D24" i="47"/>
  <c r="J4" i="53"/>
  <c r="D24" i="53"/>
  <c r="D21" i="46"/>
  <c r="D20" i="51"/>
  <c r="I61" i="51"/>
  <c r="I59" i="51"/>
  <c r="K6" i="46"/>
  <c r="K6" i="53"/>
  <c r="D20" i="50"/>
  <c r="I61" i="50"/>
  <c r="I49" i="51"/>
  <c r="I35" i="51"/>
  <c r="J6" i="31"/>
  <c r="K6" i="31"/>
  <c r="K4" i="31"/>
  <c r="J4" i="31"/>
  <c r="D19" i="31"/>
  <c r="J6" i="36"/>
  <c r="K6" i="36"/>
  <c r="J4" i="36"/>
  <c r="D19" i="36"/>
  <c r="K4" i="36"/>
  <c r="J4" i="35"/>
  <c r="I12" i="51"/>
  <c r="I14" i="51"/>
  <c r="I12" i="32"/>
  <c r="I53" i="32"/>
  <c r="I45" i="32"/>
  <c r="I37" i="32"/>
  <c r="I29" i="32"/>
  <c r="I21" i="32"/>
  <c r="I13" i="32"/>
  <c r="I54" i="32"/>
  <c r="I46" i="32"/>
  <c r="I38" i="32"/>
  <c r="I30" i="32"/>
  <c r="I22" i="32"/>
  <c r="I14" i="32"/>
  <c r="I59" i="32"/>
  <c r="I51" i="32"/>
  <c r="I43" i="32"/>
  <c r="I35" i="32"/>
  <c r="I27" i="32"/>
  <c r="I19" i="32"/>
  <c r="I60" i="32"/>
  <c r="I52" i="32"/>
  <c r="I44" i="32"/>
  <c r="I36" i="32"/>
  <c r="I28" i="32"/>
  <c r="I20" i="32"/>
  <c r="I57" i="32"/>
  <c r="I49" i="32"/>
  <c r="I41" i="32"/>
  <c r="I33" i="32"/>
  <c r="I25" i="32"/>
  <c r="I17" i="32"/>
  <c r="I58" i="32"/>
  <c r="I50" i="32"/>
  <c r="I42" i="32"/>
  <c r="I34" i="32"/>
  <c r="I26" i="32"/>
  <c r="I18" i="32"/>
  <c r="I55" i="32"/>
  <c r="I47" i="32"/>
  <c r="I39" i="32"/>
  <c r="I31" i="32"/>
  <c r="I23" i="32"/>
  <c r="I15" i="32"/>
  <c r="I56" i="32"/>
  <c r="I48" i="32"/>
  <c r="I40" i="32"/>
  <c r="I32" i="32"/>
  <c r="I24" i="32"/>
  <c r="I16" i="32"/>
  <c r="I53" i="51"/>
  <c r="I55" i="51"/>
  <c r="J4" i="30"/>
  <c r="J6" i="30"/>
  <c r="K6" i="30"/>
  <c r="K4" i="30"/>
  <c r="J6" i="33"/>
  <c r="K6" i="33"/>
  <c r="J4" i="33"/>
  <c r="D21" i="33"/>
  <c r="K4" i="33"/>
  <c r="J6" i="37"/>
  <c r="K6" i="37"/>
  <c r="K4" i="37"/>
  <c r="J4" i="37"/>
  <c r="D21" i="37"/>
  <c r="J5" i="37"/>
  <c r="D22" i="48"/>
  <c r="J5" i="48"/>
  <c r="I42" i="51"/>
  <c r="I58" i="51"/>
  <c r="J5" i="32"/>
  <c r="D20" i="49"/>
  <c r="K4" i="35"/>
  <c r="J6" i="35"/>
  <c r="K6" i="35"/>
  <c r="G7" i="7"/>
  <c r="F7" i="7"/>
  <c r="F6" i="7"/>
  <c r="A7" i="7"/>
  <c r="A6" i="7"/>
  <c r="A5" i="7"/>
  <c r="A4" i="7"/>
  <c r="A3" i="7"/>
  <c r="I61" i="48"/>
  <c r="I28" i="48"/>
  <c r="I46" i="51"/>
  <c r="I44" i="51"/>
  <c r="I50" i="51"/>
  <c r="I54" i="51"/>
  <c r="J5" i="51"/>
  <c r="J53" i="51"/>
  <c r="I48" i="51"/>
  <c r="J48" i="51"/>
  <c r="I57" i="51"/>
  <c r="I22" i="51"/>
  <c r="I39" i="51"/>
  <c r="I28" i="51"/>
  <c r="I37" i="51"/>
  <c r="I52" i="51"/>
  <c r="I13" i="51"/>
  <c r="I26" i="51"/>
  <c r="I56" i="51"/>
  <c r="I24" i="51"/>
  <c r="I16" i="51"/>
  <c r="J5" i="50"/>
  <c r="I43" i="51"/>
  <c r="I32" i="51"/>
  <c r="J32" i="51"/>
  <c r="I41" i="51"/>
  <c r="J41" i="51"/>
  <c r="I23" i="51"/>
  <c r="I15" i="51"/>
  <c r="J15" i="51"/>
  <c r="I21" i="51"/>
  <c r="J21" i="51"/>
  <c r="I47" i="51"/>
  <c r="J47" i="51"/>
  <c r="I36" i="51"/>
  <c r="I45" i="51"/>
  <c r="J45" i="51"/>
  <c r="I17" i="51"/>
  <c r="I33" i="51"/>
  <c r="J33" i="51"/>
  <c r="I51" i="51"/>
  <c r="J51" i="51"/>
  <c r="J58" i="51"/>
  <c r="J42" i="51"/>
  <c r="I27" i="51"/>
  <c r="J27" i="51"/>
  <c r="I19" i="51"/>
  <c r="J19" i="51"/>
  <c r="I25" i="51"/>
  <c r="J25" i="51"/>
  <c r="I60" i="51"/>
  <c r="J60" i="51"/>
  <c r="I34" i="51"/>
  <c r="J34" i="51"/>
  <c r="I38" i="51"/>
  <c r="I31" i="51"/>
  <c r="I20" i="51"/>
  <c r="J20" i="51"/>
  <c r="I29" i="51"/>
  <c r="I30" i="51"/>
  <c r="J30" i="51"/>
  <c r="I18" i="51"/>
  <c r="J18" i="51"/>
  <c r="I40" i="51"/>
  <c r="N5" i="53"/>
  <c r="I61" i="53"/>
  <c r="D20" i="35"/>
  <c r="I61" i="35"/>
  <c r="I46" i="35"/>
  <c r="I13" i="48"/>
  <c r="J13" i="48"/>
  <c r="J5" i="36"/>
  <c r="K5" i="36"/>
  <c r="I61" i="36"/>
  <c r="K5" i="37"/>
  <c r="J11" i="37"/>
  <c r="I51" i="48"/>
  <c r="J51" i="48"/>
  <c r="I43" i="48"/>
  <c r="J43" i="48"/>
  <c r="K4" i="7"/>
  <c r="J4" i="7"/>
  <c r="D22" i="7"/>
  <c r="J5" i="7"/>
  <c r="J6" i="7"/>
  <c r="K6" i="7"/>
  <c r="J61" i="48"/>
  <c r="I18" i="48"/>
  <c r="J18" i="48"/>
  <c r="J28" i="48"/>
  <c r="J11" i="48"/>
  <c r="J61" i="32"/>
  <c r="J59" i="32"/>
  <c r="J57" i="32"/>
  <c r="J55" i="32"/>
  <c r="J53" i="32"/>
  <c r="J51" i="32"/>
  <c r="J49" i="32"/>
  <c r="J47" i="32"/>
  <c r="J45" i="32"/>
  <c r="J43" i="32"/>
  <c r="J41" i="32"/>
  <c r="J39" i="32"/>
  <c r="J58" i="32"/>
  <c r="J50" i="32"/>
  <c r="J42" i="32"/>
  <c r="J37" i="32"/>
  <c r="J35" i="32"/>
  <c r="J33" i="32"/>
  <c r="J31" i="32"/>
  <c r="J29" i="32"/>
  <c r="J27" i="32"/>
  <c r="J25" i="32"/>
  <c r="J23" i="32"/>
  <c r="J21" i="32"/>
  <c r="J19" i="32"/>
  <c r="J17" i="32"/>
  <c r="J15" i="32"/>
  <c r="J13" i="32"/>
  <c r="J11" i="32"/>
  <c r="J52" i="32"/>
  <c r="J44" i="32"/>
  <c r="J46" i="32"/>
  <c r="J36" i="32"/>
  <c r="J32" i="32"/>
  <c r="J28" i="32"/>
  <c r="J24" i="32"/>
  <c r="J20" i="32"/>
  <c r="J16" i="32"/>
  <c r="J12" i="32"/>
  <c r="J56" i="32"/>
  <c r="J48" i="32"/>
  <c r="J40" i="32"/>
  <c r="J60" i="32"/>
  <c r="J54" i="32"/>
  <c r="J38" i="32"/>
  <c r="J34" i="32"/>
  <c r="J30" i="32"/>
  <c r="J26" i="32"/>
  <c r="J22" i="32"/>
  <c r="J18" i="32"/>
  <c r="J14" i="32"/>
  <c r="J11" i="50"/>
  <c r="J61" i="50"/>
  <c r="K5" i="50"/>
  <c r="I59" i="50"/>
  <c r="J59" i="50"/>
  <c r="I55" i="50"/>
  <c r="J55" i="50"/>
  <c r="I51" i="50"/>
  <c r="J51" i="50"/>
  <c r="I47" i="50"/>
  <c r="J47" i="50"/>
  <c r="I43" i="50"/>
  <c r="J43" i="50"/>
  <c r="I39" i="50"/>
  <c r="J39" i="50"/>
  <c r="I35" i="50"/>
  <c r="J35" i="50"/>
  <c r="I31" i="50"/>
  <c r="J31" i="50"/>
  <c r="I27" i="50"/>
  <c r="J27" i="50"/>
  <c r="I23" i="50"/>
  <c r="J23" i="50"/>
  <c r="I18" i="50"/>
  <c r="J18" i="50"/>
  <c r="I14" i="50"/>
  <c r="J14" i="50"/>
  <c r="I49" i="50"/>
  <c r="J49" i="50"/>
  <c r="I37" i="50"/>
  <c r="J37" i="50"/>
  <c r="I33" i="50"/>
  <c r="J33" i="50"/>
  <c r="I29" i="50"/>
  <c r="J29" i="50"/>
  <c r="I25" i="50"/>
  <c r="J25" i="50"/>
  <c r="I16" i="50"/>
  <c r="J16" i="50"/>
  <c r="I60" i="50"/>
  <c r="J60" i="50"/>
  <c r="I56" i="50"/>
  <c r="J56" i="50"/>
  <c r="I52" i="50"/>
  <c r="J52" i="50"/>
  <c r="I48" i="50"/>
  <c r="J48" i="50"/>
  <c r="I44" i="50"/>
  <c r="J44" i="50"/>
  <c r="I40" i="50"/>
  <c r="J40" i="50"/>
  <c r="I36" i="50"/>
  <c r="J36" i="50"/>
  <c r="I32" i="50"/>
  <c r="J32" i="50"/>
  <c r="I28" i="50"/>
  <c r="J28" i="50"/>
  <c r="I24" i="50"/>
  <c r="J24" i="50"/>
  <c r="I20" i="50"/>
  <c r="J20" i="50"/>
  <c r="I19" i="50"/>
  <c r="J19" i="50"/>
  <c r="I15" i="50"/>
  <c r="J15" i="50"/>
  <c r="I57" i="50"/>
  <c r="J57" i="50"/>
  <c r="I53" i="50"/>
  <c r="J53" i="50"/>
  <c r="I41" i="50"/>
  <c r="J41" i="50"/>
  <c r="I58" i="50"/>
  <c r="J58" i="50"/>
  <c r="I54" i="50"/>
  <c r="J54" i="50"/>
  <c r="I50" i="50"/>
  <c r="J50" i="50"/>
  <c r="I46" i="50"/>
  <c r="J46" i="50"/>
  <c r="I42" i="50"/>
  <c r="J42" i="50"/>
  <c r="I38" i="50"/>
  <c r="J38" i="50"/>
  <c r="I34" i="50"/>
  <c r="J34" i="50"/>
  <c r="I30" i="50"/>
  <c r="J30" i="50"/>
  <c r="I26" i="50"/>
  <c r="J26" i="50"/>
  <c r="I22" i="50"/>
  <c r="J22" i="50"/>
  <c r="I17" i="50"/>
  <c r="J17" i="50"/>
  <c r="I13" i="50"/>
  <c r="J13" i="50"/>
  <c r="I45" i="50"/>
  <c r="J45" i="50"/>
  <c r="I21" i="50"/>
  <c r="J21" i="50"/>
  <c r="I12" i="50"/>
  <c r="J12" i="50"/>
  <c r="I61" i="37"/>
  <c r="J61" i="37"/>
  <c r="I61" i="31"/>
  <c r="I24" i="31"/>
  <c r="J5" i="31"/>
  <c r="I61" i="33"/>
  <c r="I57" i="33"/>
  <c r="J5" i="33"/>
  <c r="K5" i="32"/>
  <c r="I51" i="33"/>
  <c r="I13" i="33"/>
  <c r="I58" i="33"/>
  <c r="I49" i="33"/>
  <c r="I30" i="48"/>
  <c r="J30" i="48"/>
  <c r="I45" i="48"/>
  <c r="J45" i="48"/>
  <c r="I60" i="48"/>
  <c r="J60" i="48"/>
  <c r="I14" i="48"/>
  <c r="J14" i="48"/>
  <c r="I29" i="48"/>
  <c r="J29" i="48"/>
  <c r="I44" i="48"/>
  <c r="J44" i="48"/>
  <c r="I46" i="48"/>
  <c r="J46" i="48"/>
  <c r="I12" i="48"/>
  <c r="J12" i="48"/>
  <c r="I27" i="48"/>
  <c r="J27" i="48"/>
  <c r="K5" i="48"/>
  <c r="I61" i="49"/>
  <c r="J5" i="49"/>
  <c r="I59" i="48"/>
  <c r="J59" i="48"/>
  <c r="I26" i="48"/>
  <c r="J26" i="48"/>
  <c r="I42" i="48"/>
  <c r="J42" i="48"/>
  <c r="I58" i="48"/>
  <c r="J58" i="48"/>
  <c r="I25" i="48"/>
  <c r="J25" i="48"/>
  <c r="I41" i="48"/>
  <c r="J41" i="48"/>
  <c r="I57" i="48"/>
  <c r="J57" i="48"/>
  <c r="I24" i="48"/>
  <c r="J24" i="48"/>
  <c r="I40" i="48"/>
  <c r="J40" i="48"/>
  <c r="I56" i="48"/>
  <c r="J56" i="48"/>
  <c r="I23" i="48"/>
  <c r="J23" i="48"/>
  <c r="I39" i="48"/>
  <c r="J39" i="48"/>
  <c r="I55" i="48"/>
  <c r="J55" i="48"/>
  <c r="I34" i="48"/>
  <c r="J34" i="48"/>
  <c r="I50" i="48"/>
  <c r="J50" i="48"/>
  <c r="I17" i="48"/>
  <c r="J17" i="48"/>
  <c r="I33" i="48"/>
  <c r="J33" i="48"/>
  <c r="I49" i="48"/>
  <c r="J49" i="48"/>
  <c r="I16" i="48"/>
  <c r="J16" i="48"/>
  <c r="I32" i="48"/>
  <c r="J32" i="48"/>
  <c r="I48" i="48"/>
  <c r="J48" i="48"/>
  <c r="I15" i="48"/>
  <c r="J15" i="48"/>
  <c r="I31" i="48"/>
  <c r="J31" i="48"/>
  <c r="I47" i="48"/>
  <c r="J47" i="48"/>
  <c r="I22" i="48"/>
  <c r="J22" i="48"/>
  <c r="I38" i="48"/>
  <c r="J38" i="48"/>
  <c r="I54" i="48"/>
  <c r="J54" i="48"/>
  <c r="I21" i="48"/>
  <c r="J21" i="48"/>
  <c r="I37" i="48"/>
  <c r="J37" i="48"/>
  <c r="I53" i="48"/>
  <c r="J53" i="48"/>
  <c r="I20" i="48"/>
  <c r="J20" i="48"/>
  <c r="I36" i="48"/>
  <c r="J36" i="48"/>
  <c r="I52" i="48"/>
  <c r="J52" i="48"/>
  <c r="I19" i="48"/>
  <c r="J19" i="48"/>
  <c r="I35" i="48"/>
  <c r="J35" i="48"/>
  <c r="D19" i="30"/>
  <c r="J5" i="30"/>
  <c r="I61" i="46"/>
  <c r="J5" i="46"/>
  <c r="J5" i="53"/>
  <c r="I61" i="47"/>
  <c r="J5" i="47"/>
  <c r="I59" i="37"/>
  <c r="J59" i="37"/>
  <c r="I35" i="37"/>
  <c r="J35" i="37"/>
  <c r="I27" i="37"/>
  <c r="J27" i="37"/>
  <c r="I52" i="37"/>
  <c r="J52" i="37"/>
  <c r="I44" i="37"/>
  <c r="J44" i="37"/>
  <c r="I20" i="37"/>
  <c r="J20" i="37"/>
  <c r="I12" i="37"/>
  <c r="J12" i="37"/>
  <c r="I59" i="31"/>
  <c r="I58" i="31"/>
  <c r="I41" i="31"/>
  <c r="I12" i="31"/>
  <c r="I46" i="31"/>
  <c r="I44" i="31"/>
  <c r="I29" i="31"/>
  <c r="J29" i="31"/>
  <c r="I47" i="31"/>
  <c r="I39" i="31"/>
  <c r="I14" i="31"/>
  <c r="J14" i="31"/>
  <c r="J40" i="51"/>
  <c r="J23" i="51"/>
  <c r="J29" i="51"/>
  <c r="J39" i="51"/>
  <c r="J46" i="51"/>
  <c r="J13" i="51"/>
  <c r="J52" i="51"/>
  <c r="J11" i="51"/>
  <c r="J49" i="51"/>
  <c r="K5" i="51"/>
  <c r="J50" i="51"/>
  <c r="J17" i="51"/>
  <c r="J35" i="51"/>
  <c r="J28" i="51"/>
  <c r="J14" i="51"/>
  <c r="J16" i="51"/>
  <c r="J31" i="51"/>
  <c r="J38" i="51"/>
  <c r="J59" i="51"/>
  <c r="J56" i="51"/>
  <c r="J24" i="51"/>
  <c r="J61" i="51"/>
  <c r="J12" i="51"/>
  <c r="J54" i="51"/>
  <c r="J26" i="51"/>
  <c r="J43" i="51"/>
  <c r="J22" i="51"/>
  <c r="J44" i="51"/>
  <c r="I27" i="31"/>
  <c r="J27" i="31"/>
  <c r="I32" i="31"/>
  <c r="J36" i="51"/>
  <c r="J37" i="51"/>
  <c r="J57" i="51"/>
  <c r="J55" i="51"/>
  <c r="M61" i="53"/>
  <c r="N61" i="53"/>
  <c r="Q61" i="53"/>
  <c r="O5" i="53"/>
  <c r="N11" i="53"/>
  <c r="J11" i="53"/>
  <c r="J61" i="53"/>
  <c r="J5" i="35"/>
  <c r="J61" i="35"/>
  <c r="I59" i="53"/>
  <c r="I55" i="53"/>
  <c r="I51" i="53"/>
  <c r="I47" i="53"/>
  <c r="J47" i="53"/>
  <c r="I43" i="53"/>
  <c r="I39" i="53"/>
  <c r="I35" i="53"/>
  <c r="I31" i="53"/>
  <c r="I27" i="53"/>
  <c r="I22" i="53"/>
  <c r="I18" i="53"/>
  <c r="I14" i="53"/>
  <c r="I60" i="53"/>
  <c r="Q60" i="53"/>
  <c r="I56" i="53"/>
  <c r="I52" i="53"/>
  <c r="I48" i="53"/>
  <c r="I44" i="53"/>
  <c r="I40" i="53"/>
  <c r="I36" i="53"/>
  <c r="I32" i="53"/>
  <c r="I28" i="53"/>
  <c r="I24" i="53"/>
  <c r="I19" i="53"/>
  <c r="I15" i="53"/>
  <c r="I57" i="53"/>
  <c r="I53" i="53"/>
  <c r="I49" i="53"/>
  <c r="I45" i="53"/>
  <c r="I41" i="53"/>
  <c r="I37" i="53"/>
  <c r="I33" i="53"/>
  <c r="I29" i="53"/>
  <c r="I25" i="53"/>
  <c r="I20" i="53"/>
  <c r="I16" i="53"/>
  <c r="I12" i="53"/>
  <c r="I58" i="53"/>
  <c r="I54" i="53"/>
  <c r="I50" i="53"/>
  <c r="I46" i="53"/>
  <c r="I42" i="53"/>
  <c r="I38" i="53"/>
  <c r="I34" i="53"/>
  <c r="I30" i="53"/>
  <c r="I26" i="53"/>
  <c r="I21" i="53"/>
  <c r="I17" i="53"/>
  <c r="I13" i="53"/>
  <c r="I23" i="53"/>
  <c r="I23" i="35"/>
  <c r="I12" i="35"/>
  <c r="I28" i="37"/>
  <c r="J28" i="37"/>
  <c r="I60" i="37"/>
  <c r="J60" i="37"/>
  <c r="I43" i="37"/>
  <c r="J43" i="37"/>
  <c r="I47" i="33"/>
  <c r="J47" i="33"/>
  <c r="I36" i="33"/>
  <c r="J36" i="33"/>
  <c r="I36" i="37"/>
  <c r="J36" i="37"/>
  <c r="I19" i="37"/>
  <c r="J19" i="37"/>
  <c r="I51" i="37"/>
  <c r="J51" i="37"/>
  <c r="I32" i="33"/>
  <c r="J11" i="7"/>
  <c r="J61" i="49"/>
  <c r="J11" i="49"/>
  <c r="I30" i="49"/>
  <c r="J30" i="49"/>
  <c r="K61" i="37"/>
  <c r="K59" i="37"/>
  <c r="K51" i="37"/>
  <c r="K35" i="37"/>
  <c r="K27" i="37"/>
  <c r="K52" i="37"/>
  <c r="K44" i="37"/>
  <c r="K36" i="37"/>
  <c r="K20" i="37"/>
  <c r="K12" i="37"/>
  <c r="K60" i="37"/>
  <c r="K11" i="37"/>
  <c r="I14" i="37"/>
  <c r="J14" i="37"/>
  <c r="I22" i="37"/>
  <c r="J22" i="37"/>
  <c r="I30" i="37"/>
  <c r="J30" i="37"/>
  <c r="I38" i="37"/>
  <c r="J38" i="37"/>
  <c r="I46" i="37"/>
  <c r="J46" i="37"/>
  <c r="I54" i="37"/>
  <c r="J54" i="37"/>
  <c r="I13" i="37"/>
  <c r="J13" i="37"/>
  <c r="I21" i="37"/>
  <c r="J21" i="37"/>
  <c r="I29" i="37"/>
  <c r="J29" i="37"/>
  <c r="I37" i="37"/>
  <c r="J37" i="37"/>
  <c r="I45" i="37"/>
  <c r="J45" i="37"/>
  <c r="I53" i="37"/>
  <c r="J53" i="37"/>
  <c r="J61" i="47"/>
  <c r="J11" i="47"/>
  <c r="I60" i="47"/>
  <c r="J60" i="47"/>
  <c r="J58" i="31"/>
  <c r="J46" i="31"/>
  <c r="J44" i="31"/>
  <c r="J32" i="31"/>
  <c r="J24" i="31"/>
  <c r="J61" i="31"/>
  <c r="J11" i="31"/>
  <c r="J59" i="31"/>
  <c r="J12" i="31"/>
  <c r="J47" i="31"/>
  <c r="J41" i="31"/>
  <c r="J39" i="31"/>
  <c r="I59" i="36"/>
  <c r="J59" i="36"/>
  <c r="I51" i="36"/>
  <c r="K51" i="36"/>
  <c r="I43" i="36"/>
  <c r="K43" i="36"/>
  <c r="I35" i="36"/>
  <c r="K35" i="36"/>
  <c r="I27" i="36"/>
  <c r="K27" i="36"/>
  <c r="I19" i="36"/>
  <c r="J19" i="36"/>
  <c r="I60" i="36"/>
  <c r="K60" i="36"/>
  <c r="I50" i="36"/>
  <c r="K50" i="36"/>
  <c r="I40" i="36"/>
  <c r="J40" i="36"/>
  <c r="I28" i="36"/>
  <c r="K28" i="36"/>
  <c r="I16" i="36"/>
  <c r="K16" i="36"/>
  <c r="I38" i="36"/>
  <c r="J38" i="36"/>
  <c r="I14" i="36"/>
  <c r="J14" i="36"/>
  <c r="I57" i="36"/>
  <c r="J57" i="36"/>
  <c r="I49" i="36"/>
  <c r="J49" i="36"/>
  <c r="I41" i="36"/>
  <c r="K41" i="36"/>
  <c r="I33" i="36"/>
  <c r="K33" i="36"/>
  <c r="I25" i="36"/>
  <c r="K25" i="36"/>
  <c r="I17" i="36"/>
  <c r="J17" i="36"/>
  <c r="I56" i="36"/>
  <c r="J56" i="36"/>
  <c r="I48" i="36"/>
  <c r="I36" i="36"/>
  <c r="J36" i="36"/>
  <c r="I24" i="36"/>
  <c r="J24" i="36"/>
  <c r="I12" i="36"/>
  <c r="K12" i="36"/>
  <c r="I32" i="36"/>
  <c r="J32" i="36"/>
  <c r="I55" i="36"/>
  <c r="K55" i="36"/>
  <c r="I47" i="36"/>
  <c r="J47" i="36"/>
  <c r="I39" i="36"/>
  <c r="J39" i="36"/>
  <c r="I31" i="36"/>
  <c r="J31" i="36"/>
  <c r="I23" i="36"/>
  <c r="J23" i="36"/>
  <c r="I15" i="36"/>
  <c r="J15" i="36"/>
  <c r="I54" i="36"/>
  <c r="K54" i="36"/>
  <c r="I46" i="36"/>
  <c r="I34" i="36"/>
  <c r="J34" i="36"/>
  <c r="I22" i="36"/>
  <c r="K22" i="36"/>
  <c r="I58" i="36"/>
  <c r="J58" i="36"/>
  <c r="I26" i="36"/>
  <c r="K26" i="36"/>
  <c r="I53" i="36"/>
  <c r="K53" i="36"/>
  <c r="I45" i="36"/>
  <c r="K45" i="36"/>
  <c r="I37" i="36"/>
  <c r="J37" i="36"/>
  <c r="I29" i="36"/>
  <c r="K29" i="36"/>
  <c r="I21" i="36"/>
  <c r="J21" i="36"/>
  <c r="I13" i="36"/>
  <c r="J13" i="36"/>
  <c r="I52" i="36"/>
  <c r="J52" i="36"/>
  <c r="I42" i="36"/>
  <c r="J42" i="36"/>
  <c r="I30" i="36"/>
  <c r="K30" i="36"/>
  <c r="I18" i="36"/>
  <c r="K18" i="36"/>
  <c r="I44" i="36"/>
  <c r="K44" i="36"/>
  <c r="I20" i="36"/>
  <c r="J20" i="36"/>
  <c r="I16" i="37"/>
  <c r="J16" i="37"/>
  <c r="I24" i="37"/>
  <c r="J24" i="37"/>
  <c r="I32" i="37"/>
  <c r="J32" i="37"/>
  <c r="I40" i="37"/>
  <c r="J40" i="37"/>
  <c r="I48" i="37"/>
  <c r="J48" i="37"/>
  <c r="I56" i="37"/>
  <c r="J56" i="37"/>
  <c r="I15" i="37"/>
  <c r="J15" i="37"/>
  <c r="I23" i="37"/>
  <c r="J23" i="37"/>
  <c r="I31" i="37"/>
  <c r="J31" i="37"/>
  <c r="I39" i="37"/>
  <c r="J39" i="37"/>
  <c r="I47" i="37"/>
  <c r="J47" i="37"/>
  <c r="I55" i="37"/>
  <c r="J55" i="37"/>
  <c r="I18" i="37"/>
  <c r="J18" i="37"/>
  <c r="I26" i="37"/>
  <c r="J26" i="37"/>
  <c r="I34" i="37"/>
  <c r="J34" i="37"/>
  <c r="I42" i="37"/>
  <c r="J42" i="37"/>
  <c r="I50" i="37"/>
  <c r="J50" i="37"/>
  <c r="I58" i="37"/>
  <c r="J58" i="37"/>
  <c r="I17" i="37"/>
  <c r="J17" i="37"/>
  <c r="I25" i="37"/>
  <c r="J25" i="37"/>
  <c r="I33" i="37"/>
  <c r="J33" i="37"/>
  <c r="I41" i="37"/>
  <c r="J41" i="37"/>
  <c r="I49" i="37"/>
  <c r="J49" i="37"/>
  <c r="I57" i="37"/>
  <c r="J57" i="37"/>
  <c r="J61" i="46"/>
  <c r="J11" i="46"/>
  <c r="I17" i="33"/>
  <c r="J17" i="33"/>
  <c r="I26" i="33"/>
  <c r="J26" i="33"/>
  <c r="I56" i="33"/>
  <c r="J56" i="33"/>
  <c r="I37" i="33"/>
  <c r="J37" i="33"/>
  <c r="I22" i="33"/>
  <c r="J22" i="33"/>
  <c r="I60" i="33"/>
  <c r="J60" i="33"/>
  <c r="J58" i="33"/>
  <c r="J32" i="33"/>
  <c r="J61" i="33"/>
  <c r="J57" i="33"/>
  <c r="J49" i="33"/>
  <c r="J13" i="33"/>
  <c r="J51" i="33"/>
  <c r="J11" i="33"/>
  <c r="K31" i="36"/>
  <c r="K20" i="36"/>
  <c r="K61" i="36"/>
  <c r="K58" i="36"/>
  <c r="K42" i="36"/>
  <c r="K34" i="36"/>
  <c r="K19" i="36"/>
  <c r="K48" i="36"/>
  <c r="K32" i="36"/>
  <c r="K11" i="36"/>
  <c r="K46" i="36"/>
  <c r="K14" i="36"/>
  <c r="J11" i="30"/>
  <c r="I41" i="33"/>
  <c r="J41" i="33"/>
  <c r="I50" i="33"/>
  <c r="J50" i="33"/>
  <c r="I39" i="33"/>
  <c r="J39" i="33"/>
  <c r="I24" i="33"/>
  <c r="J24" i="33"/>
  <c r="I54" i="33"/>
  <c r="J54" i="33"/>
  <c r="I43" i="33"/>
  <c r="J43" i="33"/>
  <c r="I28" i="33"/>
  <c r="J28" i="33"/>
  <c r="K49" i="48"/>
  <c r="K57" i="48"/>
  <c r="K15" i="48"/>
  <c r="K23" i="48"/>
  <c r="K31" i="48"/>
  <c r="K39" i="48"/>
  <c r="K46" i="48"/>
  <c r="K54" i="48"/>
  <c r="K12" i="48"/>
  <c r="K20" i="48"/>
  <c r="K28" i="48"/>
  <c r="K36" i="48"/>
  <c r="K51" i="48"/>
  <c r="K17" i="48"/>
  <c r="K33" i="48"/>
  <c r="K56" i="48"/>
  <c r="K22" i="48"/>
  <c r="K11" i="48"/>
  <c r="K40" i="48"/>
  <c r="K47" i="48"/>
  <c r="K55" i="48"/>
  <c r="K13" i="48"/>
  <c r="K21" i="48"/>
  <c r="K29" i="48"/>
  <c r="K37" i="48"/>
  <c r="K44" i="48"/>
  <c r="K52" i="48"/>
  <c r="K60" i="48"/>
  <c r="K18" i="48"/>
  <c r="K26" i="48"/>
  <c r="K34" i="48"/>
  <c r="K42" i="48"/>
  <c r="K43" i="48"/>
  <c r="K59" i="48"/>
  <c r="K25" i="48"/>
  <c r="K41" i="48"/>
  <c r="K48" i="48"/>
  <c r="K14" i="48"/>
  <c r="K30" i="48"/>
  <c r="K38" i="48"/>
  <c r="K45" i="48"/>
  <c r="K53" i="48"/>
  <c r="K61" i="48"/>
  <c r="K19" i="48"/>
  <c r="K27" i="48"/>
  <c r="K35" i="48"/>
  <c r="K50" i="48"/>
  <c r="K58" i="48"/>
  <c r="K16" i="48"/>
  <c r="K24" i="48"/>
  <c r="K32" i="48"/>
  <c r="I33" i="33"/>
  <c r="J33" i="33"/>
  <c r="I34" i="33"/>
  <c r="J34" i="33"/>
  <c r="I15" i="33"/>
  <c r="J15" i="33"/>
  <c r="I45" i="33"/>
  <c r="J45" i="33"/>
  <c r="I30" i="33"/>
  <c r="J30" i="33"/>
  <c r="I19" i="33"/>
  <c r="J19" i="33"/>
  <c r="K60" i="32"/>
  <c r="K55" i="32"/>
  <c r="K52" i="32"/>
  <c r="K47" i="32"/>
  <c r="K44" i="32"/>
  <c r="K39" i="32"/>
  <c r="K57" i="32"/>
  <c r="K54" i="32"/>
  <c r="K49" i="32"/>
  <c r="K46" i="32"/>
  <c r="K41" i="32"/>
  <c r="K36" i="32"/>
  <c r="K32" i="32"/>
  <c r="K28" i="32"/>
  <c r="K24" i="32"/>
  <c r="K20" i="32"/>
  <c r="K16" i="32"/>
  <c r="K12" i="32"/>
  <c r="K59" i="32"/>
  <c r="K56" i="32"/>
  <c r="K51" i="32"/>
  <c r="K40" i="32"/>
  <c r="K61" i="32"/>
  <c r="K58" i="32"/>
  <c r="K53" i="32"/>
  <c r="K50" i="32"/>
  <c r="K45" i="32"/>
  <c r="K42" i="32"/>
  <c r="K37" i="32"/>
  <c r="K35" i="32"/>
  <c r="K33" i="32"/>
  <c r="K31" i="32"/>
  <c r="K29" i="32"/>
  <c r="K27" i="32"/>
  <c r="K25" i="32"/>
  <c r="K23" i="32"/>
  <c r="K21" i="32"/>
  <c r="K19" i="32"/>
  <c r="K17" i="32"/>
  <c r="K15" i="32"/>
  <c r="K13" i="32"/>
  <c r="K11" i="32"/>
  <c r="K38" i="32"/>
  <c r="K34" i="32"/>
  <c r="K30" i="32"/>
  <c r="K26" i="32"/>
  <c r="K22" i="32"/>
  <c r="K18" i="32"/>
  <c r="K14" i="32"/>
  <c r="K48" i="32"/>
  <c r="K43" i="32"/>
  <c r="J61" i="36"/>
  <c r="J43" i="36"/>
  <c r="J33" i="36"/>
  <c r="J27" i="36"/>
  <c r="J25" i="36"/>
  <c r="J11" i="36"/>
  <c r="J26" i="36"/>
  <c r="J48" i="36"/>
  <c r="J46" i="36"/>
  <c r="I52" i="35"/>
  <c r="K61" i="50"/>
  <c r="K57" i="50"/>
  <c r="K53" i="50"/>
  <c r="K49" i="50"/>
  <c r="K45" i="50"/>
  <c r="K41" i="50"/>
  <c r="K37" i="50"/>
  <c r="K33" i="50"/>
  <c r="K29" i="50"/>
  <c r="K25" i="50"/>
  <c r="K21" i="50"/>
  <c r="K16" i="50"/>
  <c r="K12" i="50"/>
  <c r="K18" i="50"/>
  <c r="K58" i="50"/>
  <c r="K54" i="50"/>
  <c r="K50" i="50"/>
  <c r="K46" i="50"/>
  <c r="K42" i="50"/>
  <c r="K38" i="50"/>
  <c r="K34" i="50"/>
  <c r="K30" i="50"/>
  <c r="K26" i="50"/>
  <c r="K22" i="50"/>
  <c r="K17" i="50"/>
  <c r="K13" i="50"/>
  <c r="K55" i="50"/>
  <c r="K51" i="50"/>
  <c r="K47" i="50"/>
  <c r="K43" i="50"/>
  <c r="K60" i="50"/>
  <c r="K56" i="50"/>
  <c r="K52" i="50"/>
  <c r="K48" i="50"/>
  <c r="K44" i="50"/>
  <c r="K40" i="50"/>
  <c r="K36" i="50"/>
  <c r="K32" i="50"/>
  <c r="K28" i="50"/>
  <c r="K24" i="50"/>
  <c r="K20" i="50"/>
  <c r="K19" i="50"/>
  <c r="K15" i="50"/>
  <c r="K11" i="50"/>
  <c r="K59" i="50"/>
  <c r="K39" i="50"/>
  <c r="K35" i="50"/>
  <c r="K31" i="50"/>
  <c r="K27" i="50"/>
  <c r="K23" i="50"/>
  <c r="K14" i="50"/>
  <c r="I53" i="35"/>
  <c r="I19" i="35"/>
  <c r="J19" i="35"/>
  <c r="I55" i="35"/>
  <c r="I35" i="35"/>
  <c r="I25" i="35"/>
  <c r="I58" i="35"/>
  <c r="I21" i="35"/>
  <c r="K5" i="31"/>
  <c r="K5" i="30"/>
  <c r="K5" i="7"/>
  <c r="K5" i="33"/>
  <c r="I18" i="33"/>
  <c r="J18" i="33"/>
  <c r="I31" i="33"/>
  <c r="J31" i="33"/>
  <c r="I48" i="33"/>
  <c r="J48" i="33"/>
  <c r="I16" i="33"/>
  <c r="J16" i="33"/>
  <c r="I29" i="33"/>
  <c r="J29" i="33"/>
  <c r="I46" i="33"/>
  <c r="J46" i="33"/>
  <c r="I14" i="33"/>
  <c r="J14" i="33"/>
  <c r="I35" i="33"/>
  <c r="J35" i="33"/>
  <c r="I52" i="33"/>
  <c r="J52" i="33"/>
  <c r="I20" i="33"/>
  <c r="J20" i="33"/>
  <c r="I25" i="33"/>
  <c r="J25" i="33"/>
  <c r="I42" i="33"/>
  <c r="J42" i="33"/>
  <c r="I55" i="33"/>
  <c r="J55" i="33"/>
  <c r="I23" i="33"/>
  <c r="J23" i="33"/>
  <c r="I40" i="33"/>
  <c r="J40" i="33"/>
  <c r="I53" i="33"/>
  <c r="J53" i="33"/>
  <c r="I21" i="33"/>
  <c r="J21" i="33"/>
  <c r="I38" i="33"/>
  <c r="J38" i="33"/>
  <c r="I59" i="33"/>
  <c r="J59" i="33"/>
  <c r="I27" i="33"/>
  <c r="J27" i="33"/>
  <c r="I44" i="33"/>
  <c r="J44" i="33"/>
  <c r="I12" i="33"/>
  <c r="J12" i="33"/>
  <c r="I61" i="7"/>
  <c r="J61" i="7"/>
  <c r="K5" i="49"/>
  <c r="I20" i="35"/>
  <c r="I26" i="35"/>
  <c r="I56" i="35"/>
  <c r="I54" i="35"/>
  <c r="I41" i="35"/>
  <c r="I18" i="35"/>
  <c r="I40" i="35"/>
  <c r="I14" i="35"/>
  <c r="I59" i="49"/>
  <c r="J59" i="49"/>
  <c r="I55" i="49"/>
  <c r="J55" i="49"/>
  <c r="I51" i="49"/>
  <c r="J51" i="49"/>
  <c r="I47" i="49"/>
  <c r="J47" i="49"/>
  <c r="I43" i="49"/>
  <c r="J43" i="49"/>
  <c r="I39" i="49"/>
  <c r="J39" i="49"/>
  <c r="I35" i="49"/>
  <c r="J35" i="49"/>
  <c r="I31" i="49"/>
  <c r="J31" i="49"/>
  <c r="I27" i="49"/>
  <c r="J27" i="49"/>
  <c r="I23" i="49"/>
  <c r="J23" i="49"/>
  <c r="I18" i="49"/>
  <c r="J18" i="49"/>
  <c r="I14" i="49"/>
  <c r="J14" i="49"/>
  <c r="I60" i="49"/>
  <c r="J60" i="49"/>
  <c r="I56" i="49"/>
  <c r="J56" i="49"/>
  <c r="I52" i="49"/>
  <c r="J52" i="49"/>
  <c r="I48" i="49"/>
  <c r="J48" i="49"/>
  <c r="I44" i="49"/>
  <c r="J44" i="49"/>
  <c r="I40" i="49"/>
  <c r="J40" i="49"/>
  <c r="I36" i="49"/>
  <c r="J36" i="49"/>
  <c r="I32" i="49"/>
  <c r="J32" i="49"/>
  <c r="I28" i="49"/>
  <c r="J28" i="49"/>
  <c r="I24" i="49"/>
  <c r="J24" i="49"/>
  <c r="I19" i="49"/>
  <c r="J19" i="49"/>
  <c r="I15" i="49"/>
  <c r="J15" i="49"/>
  <c r="I57" i="49"/>
  <c r="J57" i="49"/>
  <c r="I53" i="49"/>
  <c r="J53" i="49"/>
  <c r="I49" i="49"/>
  <c r="J49" i="49"/>
  <c r="I45" i="49"/>
  <c r="J45" i="49"/>
  <c r="I41" i="49"/>
  <c r="J41" i="49"/>
  <c r="I37" i="49"/>
  <c r="J37" i="49"/>
  <c r="I33" i="49"/>
  <c r="J33" i="49"/>
  <c r="I29" i="49"/>
  <c r="J29" i="49"/>
  <c r="I25" i="49"/>
  <c r="J25" i="49"/>
  <c r="I21" i="49"/>
  <c r="J21" i="49"/>
  <c r="I20" i="49"/>
  <c r="J20" i="49"/>
  <c r="I16" i="49"/>
  <c r="J16" i="49"/>
  <c r="I12" i="49"/>
  <c r="J12" i="49"/>
  <c r="I58" i="49"/>
  <c r="J58" i="49"/>
  <c r="I54" i="49"/>
  <c r="J54" i="49"/>
  <c r="I50" i="49"/>
  <c r="J50" i="49"/>
  <c r="I46" i="49"/>
  <c r="J46" i="49"/>
  <c r="I42" i="49"/>
  <c r="J42" i="49"/>
  <c r="I38" i="49"/>
  <c r="J38" i="49"/>
  <c r="I34" i="49"/>
  <c r="J34" i="49"/>
  <c r="I26" i="49"/>
  <c r="J26" i="49"/>
  <c r="I22" i="49"/>
  <c r="J22" i="49"/>
  <c r="I17" i="49"/>
  <c r="J17" i="49"/>
  <c r="I13" i="49"/>
  <c r="J13" i="49"/>
  <c r="K5" i="46"/>
  <c r="K5" i="53"/>
  <c r="I61" i="30"/>
  <c r="J61" i="30"/>
  <c r="K5" i="47"/>
  <c r="I55" i="46"/>
  <c r="J55" i="46"/>
  <c r="I46" i="46"/>
  <c r="J46" i="46"/>
  <c r="I33" i="46"/>
  <c r="J33" i="46"/>
  <c r="I32" i="46"/>
  <c r="J32" i="46"/>
  <c r="I16" i="46"/>
  <c r="J16" i="46"/>
  <c r="I13" i="46"/>
  <c r="J13" i="46"/>
  <c r="I42" i="46"/>
  <c r="J42" i="46"/>
  <c r="I21" i="46"/>
  <c r="J21" i="46"/>
  <c r="I36" i="46"/>
  <c r="J36" i="46"/>
  <c r="I50" i="46"/>
  <c r="J50" i="46"/>
  <c r="I57" i="46"/>
  <c r="J57" i="46"/>
  <c r="I22" i="46"/>
  <c r="J22" i="46"/>
  <c r="I39" i="46"/>
  <c r="J39" i="46"/>
  <c r="I17" i="46"/>
  <c r="J17" i="46"/>
  <c r="I34" i="46"/>
  <c r="J34" i="46"/>
  <c r="I56" i="46"/>
  <c r="J56" i="46"/>
  <c r="I12" i="46"/>
  <c r="J12" i="46"/>
  <c r="I48" i="46"/>
  <c r="J48" i="46"/>
  <c r="I30" i="46"/>
  <c r="J30" i="46"/>
  <c r="I14" i="46"/>
  <c r="J14" i="46"/>
  <c r="I45" i="46"/>
  <c r="J45" i="46"/>
  <c r="I27" i="46"/>
  <c r="J27" i="46"/>
  <c r="I37" i="46"/>
  <c r="J37" i="46"/>
  <c r="I52" i="46"/>
  <c r="J52" i="46"/>
  <c r="I19" i="46"/>
  <c r="J19" i="46"/>
  <c r="I24" i="46"/>
  <c r="J24" i="46"/>
  <c r="I38" i="46"/>
  <c r="J38" i="46"/>
  <c r="I15" i="46"/>
  <c r="J15" i="46"/>
  <c r="I29" i="46"/>
  <c r="J29" i="46"/>
  <c r="I60" i="46"/>
  <c r="J60" i="46"/>
  <c r="I20" i="46"/>
  <c r="J20" i="46"/>
  <c r="I51" i="46"/>
  <c r="J51" i="46"/>
  <c r="I23" i="46"/>
  <c r="J23" i="46"/>
  <c r="I49" i="46"/>
  <c r="J49" i="46"/>
  <c r="I44" i="46"/>
  <c r="J44" i="46"/>
  <c r="I31" i="46"/>
  <c r="J31" i="46"/>
  <c r="I43" i="46"/>
  <c r="J43" i="46"/>
  <c r="I58" i="46"/>
  <c r="J58" i="46"/>
  <c r="I28" i="46"/>
  <c r="J28" i="46"/>
  <c r="I59" i="46"/>
  <c r="J59" i="46"/>
  <c r="I53" i="46"/>
  <c r="J53" i="46"/>
  <c r="I18" i="46"/>
  <c r="J18" i="46"/>
  <c r="I35" i="46"/>
  <c r="J35" i="46"/>
  <c r="I25" i="46"/>
  <c r="J25" i="46"/>
  <c r="I40" i="46"/>
  <c r="J40" i="46"/>
  <c r="I54" i="46"/>
  <c r="J54" i="46"/>
  <c r="I26" i="46"/>
  <c r="J26" i="46"/>
  <c r="I47" i="46"/>
  <c r="J47" i="46"/>
  <c r="I41" i="46"/>
  <c r="J41" i="46"/>
  <c r="I51" i="47"/>
  <c r="J51" i="47"/>
  <c r="I35" i="47"/>
  <c r="J35" i="47"/>
  <c r="I19" i="47"/>
  <c r="J19" i="47"/>
  <c r="I50" i="47"/>
  <c r="J50" i="47"/>
  <c r="I34" i="47"/>
  <c r="J34" i="47"/>
  <c r="I14" i="47"/>
  <c r="J14" i="47"/>
  <c r="I48" i="47"/>
  <c r="J48" i="47"/>
  <c r="I32" i="47"/>
  <c r="J32" i="47"/>
  <c r="I16" i="47"/>
  <c r="J16" i="47"/>
  <c r="I49" i="47"/>
  <c r="J49" i="47"/>
  <c r="I33" i="47"/>
  <c r="J33" i="47"/>
  <c r="I17" i="47"/>
  <c r="J17" i="47"/>
  <c r="I53" i="47"/>
  <c r="J53" i="47"/>
  <c r="I47" i="47"/>
  <c r="J47" i="47"/>
  <c r="I31" i="47"/>
  <c r="J31" i="47"/>
  <c r="I15" i="47"/>
  <c r="J15" i="47"/>
  <c r="I46" i="47"/>
  <c r="J46" i="47"/>
  <c r="I26" i="47"/>
  <c r="J26" i="47"/>
  <c r="I44" i="47"/>
  <c r="J44" i="47"/>
  <c r="I28" i="47"/>
  <c r="J28" i="47"/>
  <c r="I12" i="47"/>
  <c r="J12" i="47"/>
  <c r="I45" i="47"/>
  <c r="J45" i="47"/>
  <c r="I29" i="47"/>
  <c r="J29" i="47"/>
  <c r="I13" i="47"/>
  <c r="J13" i="47"/>
  <c r="I55" i="47"/>
  <c r="J55" i="47"/>
  <c r="I39" i="47"/>
  <c r="J39" i="47"/>
  <c r="I23" i="47"/>
  <c r="J23" i="47"/>
  <c r="I54" i="47"/>
  <c r="J54" i="47"/>
  <c r="I38" i="47"/>
  <c r="J38" i="47"/>
  <c r="I18" i="47"/>
  <c r="J18" i="47"/>
  <c r="I52" i="47"/>
  <c r="J52" i="47"/>
  <c r="I20" i="47"/>
  <c r="J20" i="47"/>
  <c r="I37" i="47"/>
  <c r="J37" i="47"/>
  <c r="I21" i="47"/>
  <c r="J21" i="47"/>
  <c r="I59" i="47"/>
  <c r="J59" i="47"/>
  <c r="I43" i="47"/>
  <c r="J43" i="47"/>
  <c r="I27" i="47"/>
  <c r="J27" i="47"/>
  <c r="I58" i="47"/>
  <c r="J58" i="47"/>
  <c r="I42" i="47"/>
  <c r="J42" i="47"/>
  <c r="I22" i="47"/>
  <c r="J22" i="47"/>
  <c r="I56" i="47"/>
  <c r="J56" i="47"/>
  <c r="I40" i="47"/>
  <c r="J40" i="47"/>
  <c r="I24" i="47"/>
  <c r="J24" i="47"/>
  <c r="I57" i="47"/>
  <c r="J57" i="47"/>
  <c r="I41" i="47"/>
  <c r="J41" i="47"/>
  <c r="I25" i="47"/>
  <c r="J25" i="47"/>
  <c r="I30" i="47"/>
  <c r="J30" i="47"/>
  <c r="I36" i="47"/>
  <c r="J36" i="47"/>
  <c r="I27" i="35"/>
  <c r="I57" i="35"/>
  <c r="I50" i="35"/>
  <c r="I31" i="35"/>
  <c r="J31" i="35"/>
  <c r="I16" i="35"/>
  <c r="I60" i="35"/>
  <c r="I51" i="35"/>
  <c r="I28" i="35"/>
  <c r="J28" i="35"/>
  <c r="I33" i="35"/>
  <c r="I42" i="35"/>
  <c r="I39" i="35"/>
  <c r="I48" i="35"/>
  <c r="J48" i="35"/>
  <c r="I37" i="35"/>
  <c r="I22" i="35"/>
  <c r="I59" i="35"/>
  <c r="I43" i="35"/>
  <c r="J43" i="35"/>
  <c r="I44" i="35"/>
  <c r="I49" i="35"/>
  <c r="I17" i="35"/>
  <c r="I34" i="35"/>
  <c r="J34" i="35"/>
  <c r="I47" i="35"/>
  <c r="I15" i="35"/>
  <c r="I24" i="35"/>
  <c r="I29" i="35"/>
  <c r="J29" i="35"/>
  <c r="I38" i="35"/>
  <c r="I36" i="35"/>
  <c r="I32" i="35"/>
  <c r="I45" i="35"/>
  <c r="J45" i="35"/>
  <c r="I13" i="35"/>
  <c r="I30" i="35"/>
  <c r="I51" i="31"/>
  <c r="J51" i="31"/>
  <c r="I19" i="31"/>
  <c r="J19" i="31"/>
  <c r="I36" i="31"/>
  <c r="J36" i="31"/>
  <c r="I50" i="31"/>
  <c r="J50" i="31"/>
  <c r="I31" i="31"/>
  <c r="J31" i="31"/>
  <c r="I16" i="31"/>
  <c r="J16" i="31"/>
  <c r="I33" i="31"/>
  <c r="J33" i="31"/>
  <c r="I42" i="31"/>
  <c r="J42" i="31"/>
  <c r="I23" i="31"/>
  <c r="J23" i="31"/>
  <c r="I53" i="31"/>
  <c r="J53" i="31"/>
  <c r="I21" i="31"/>
  <c r="J21" i="31"/>
  <c r="I38" i="31"/>
  <c r="J38" i="31"/>
  <c r="I43" i="31"/>
  <c r="J43" i="31"/>
  <c r="I60" i="31"/>
  <c r="J60" i="31"/>
  <c r="I28" i="31"/>
  <c r="J28" i="31"/>
  <c r="I34" i="31"/>
  <c r="J34" i="31"/>
  <c r="I15" i="31"/>
  <c r="J15" i="31"/>
  <c r="I57" i="31"/>
  <c r="J57" i="31"/>
  <c r="I25" i="31"/>
  <c r="J25" i="31"/>
  <c r="I26" i="31"/>
  <c r="J26" i="31"/>
  <c r="I56" i="31"/>
  <c r="J56" i="31"/>
  <c r="I45" i="31"/>
  <c r="J45" i="31"/>
  <c r="I13" i="31"/>
  <c r="J13" i="31"/>
  <c r="I30" i="31"/>
  <c r="J30" i="31"/>
  <c r="I35" i="31"/>
  <c r="J35" i="31"/>
  <c r="I52" i="31"/>
  <c r="J52" i="31"/>
  <c r="I20" i="31"/>
  <c r="J20" i="31"/>
  <c r="I55" i="31"/>
  <c r="J55" i="31"/>
  <c r="I48" i="31"/>
  <c r="J48" i="31"/>
  <c r="I49" i="31"/>
  <c r="J49" i="31"/>
  <c r="I17" i="31"/>
  <c r="J17" i="31"/>
  <c r="I18" i="31"/>
  <c r="J18" i="31"/>
  <c r="I40" i="31"/>
  <c r="J40" i="31"/>
  <c r="I37" i="31"/>
  <c r="J37" i="31"/>
  <c r="I54" i="31"/>
  <c r="J54" i="31"/>
  <c r="I22" i="31"/>
  <c r="J22" i="31"/>
  <c r="J46" i="35"/>
  <c r="J16" i="36"/>
  <c r="J45" i="36"/>
  <c r="J28" i="36"/>
  <c r="J53" i="36"/>
  <c r="K24" i="36"/>
  <c r="K23" i="37"/>
  <c r="J40" i="35"/>
  <c r="J56" i="35"/>
  <c r="J58" i="35"/>
  <c r="J60" i="36"/>
  <c r="K13" i="36"/>
  <c r="J32" i="35"/>
  <c r="J17" i="35"/>
  <c r="J39" i="35"/>
  <c r="J50" i="35"/>
  <c r="J18" i="35"/>
  <c r="J53" i="35"/>
  <c r="J52" i="35"/>
  <c r="J55" i="36"/>
  <c r="K57" i="36"/>
  <c r="K21" i="36"/>
  <c r="K36" i="36"/>
  <c r="K25" i="37"/>
  <c r="J30" i="35"/>
  <c r="J36" i="35"/>
  <c r="J15" i="35"/>
  <c r="J49" i="35"/>
  <c r="J22" i="35"/>
  <c r="J42" i="35"/>
  <c r="J60" i="35"/>
  <c r="J57" i="35"/>
  <c r="J41" i="35"/>
  <c r="J20" i="35"/>
  <c r="J11" i="35"/>
  <c r="J35" i="35"/>
  <c r="J29" i="36"/>
  <c r="K59" i="36"/>
  <c r="K40" i="36"/>
  <c r="K23" i="36"/>
  <c r="K48" i="37"/>
  <c r="J24" i="35"/>
  <c r="J59" i="35"/>
  <c r="J51" i="35"/>
  <c r="K5" i="35"/>
  <c r="J26" i="35"/>
  <c r="J25" i="35"/>
  <c r="J12" i="35"/>
  <c r="K16" i="37"/>
  <c r="J13" i="35"/>
  <c r="J38" i="35"/>
  <c r="J47" i="35"/>
  <c r="J44" i="35"/>
  <c r="J37" i="35"/>
  <c r="J33" i="35"/>
  <c r="J16" i="35"/>
  <c r="J27" i="35"/>
  <c r="J14" i="35"/>
  <c r="J54" i="35"/>
  <c r="J21" i="35"/>
  <c r="J55" i="35"/>
  <c r="J30" i="36"/>
  <c r="J51" i="36"/>
  <c r="K14" i="37"/>
  <c r="K28" i="37"/>
  <c r="K33" i="37"/>
  <c r="K49" i="51"/>
  <c r="K33" i="51"/>
  <c r="K16" i="51"/>
  <c r="K50" i="51"/>
  <c r="K34" i="51"/>
  <c r="K17" i="51"/>
  <c r="K44" i="51"/>
  <c r="K20" i="51"/>
  <c r="K47" i="51"/>
  <c r="K31" i="51"/>
  <c r="K14" i="51"/>
  <c r="K32" i="51"/>
  <c r="K57" i="51"/>
  <c r="K41" i="51"/>
  <c r="K25" i="51"/>
  <c r="K58" i="51"/>
  <c r="K42" i="51"/>
  <c r="K26" i="51"/>
  <c r="K60" i="51"/>
  <c r="K28" i="51"/>
  <c r="K55" i="51"/>
  <c r="K23" i="51"/>
  <c r="K48" i="51"/>
  <c r="K15" i="51"/>
  <c r="K53" i="51"/>
  <c r="K37" i="51"/>
  <c r="K21" i="51"/>
  <c r="K54" i="51"/>
  <c r="K22" i="51"/>
  <c r="K56" i="51"/>
  <c r="K24" i="51"/>
  <c r="K35" i="51"/>
  <c r="K40" i="51"/>
  <c r="K61" i="51"/>
  <c r="K45" i="51"/>
  <c r="K29" i="51"/>
  <c r="K12" i="51"/>
  <c r="K46" i="51"/>
  <c r="K30" i="51"/>
  <c r="K13" i="51"/>
  <c r="K36" i="51"/>
  <c r="K59" i="51"/>
  <c r="K43" i="51"/>
  <c r="K27" i="51"/>
  <c r="K52" i="51"/>
  <c r="K19" i="51"/>
  <c r="K39" i="51"/>
  <c r="K38" i="51"/>
  <c r="K51" i="51"/>
  <c r="K18" i="51"/>
  <c r="K11" i="51"/>
  <c r="R61" i="53"/>
  <c r="R11" i="53"/>
  <c r="Q46" i="53"/>
  <c r="M46" i="53"/>
  <c r="O46" i="53"/>
  <c r="J45" i="53"/>
  <c r="M45" i="53"/>
  <c r="Q45" i="53"/>
  <c r="J48" i="53"/>
  <c r="Q48" i="53"/>
  <c r="M48" i="53"/>
  <c r="O48" i="53"/>
  <c r="J21" i="53"/>
  <c r="M21" i="53"/>
  <c r="O21" i="53"/>
  <c r="Q21" i="53"/>
  <c r="J38" i="53"/>
  <c r="Q38" i="53"/>
  <c r="M38" i="53"/>
  <c r="O38" i="53"/>
  <c r="J54" i="53"/>
  <c r="Q54" i="53"/>
  <c r="M54" i="53"/>
  <c r="J20" i="53"/>
  <c r="Q20" i="53"/>
  <c r="M20" i="53"/>
  <c r="O20" i="53"/>
  <c r="J37" i="53"/>
  <c r="M37" i="53"/>
  <c r="O37" i="53"/>
  <c r="Q37" i="53"/>
  <c r="J53" i="53"/>
  <c r="M53" i="53"/>
  <c r="Q53" i="53"/>
  <c r="J24" i="53"/>
  <c r="Q24" i="53"/>
  <c r="M24" i="53"/>
  <c r="J40" i="53"/>
  <c r="Q40" i="53"/>
  <c r="M40" i="53"/>
  <c r="O40" i="53"/>
  <c r="J56" i="53"/>
  <c r="Q56" i="53"/>
  <c r="M56" i="53"/>
  <c r="O56" i="53"/>
  <c r="J22" i="53"/>
  <c r="Q22" i="53"/>
  <c r="M22" i="53"/>
  <c r="O22" i="53"/>
  <c r="J39" i="53"/>
  <c r="M39" i="53"/>
  <c r="O39" i="53"/>
  <c r="Q39" i="53"/>
  <c r="J55" i="53"/>
  <c r="M55" i="53"/>
  <c r="O55" i="53"/>
  <c r="Q55" i="53"/>
  <c r="M13" i="53"/>
  <c r="O13" i="53"/>
  <c r="Q13" i="53"/>
  <c r="J12" i="53"/>
  <c r="Q12" i="53"/>
  <c r="M12" i="53"/>
  <c r="J15" i="53"/>
  <c r="M15" i="53"/>
  <c r="O15" i="53"/>
  <c r="Q15" i="53"/>
  <c r="Q14" i="53"/>
  <c r="M14" i="53"/>
  <c r="O14" i="53"/>
  <c r="M31" i="53"/>
  <c r="O31" i="53"/>
  <c r="Q31" i="53"/>
  <c r="M47" i="53"/>
  <c r="Q47" i="53"/>
  <c r="J23" i="53"/>
  <c r="M23" i="53"/>
  <c r="O23" i="53"/>
  <c r="Q23" i="53"/>
  <c r="J26" i="53"/>
  <c r="Q26" i="53"/>
  <c r="M26" i="53"/>
  <c r="O26" i="53"/>
  <c r="J42" i="53"/>
  <c r="Q42" i="53"/>
  <c r="M42" i="53"/>
  <c r="O42" i="53"/>
  <c r="J58" i="53"/>
  <c r="Q58" i="53"/>
  <c r="M58" i="53"/>
  <c r="O58" i="53"/>
  <c r="J25" i="53"/>
  <c r="M25" i="53"/>
  <c r="O25" i="53"/>
  <c r="Q25" i="53"/>
  <c r="J41" i="53"/>
  <c r="M41" i="53"/>
  <c r="O41" i="53"/>
  <c r="Q41" i="53"/>
  <c r="J57" i="53"/>
  <c r="M57" i="53"/>
  <c r="O57" i="53"/>
  <c r="Q57" i="53"/>
  <c r="J28" i="53"/>
  <c r="Q28" i="53"/>
  <c r="M28" i="53"/>
  <c r="O28" i="53"/>
  <c r="J44" i="53"/>
  <c r="Q44" i="53"/>
  <c r="M44" i="53"/>
  <c r="O44" i="53"/>
  <c r="J27" i="53"/>
  <c r="M27" i="53"/>
  <c r="O27" i="53"/>
  <c r="Q27" i="53"/>
  <c r="J43" i="53"/>
  <c r="M43" i="53"/>
  <c r="O43" i="53"/>
  <c r="Q43" i="53"/>
  <c r="J59" i="53"/>
  <c r="M59" i="53"/>
  <c r="Q59" i="53"/>
  <c r="Q30" i="53"/>
  <c r="M30" i="53"/>
  <c r="O30" i="53"/>
  <c r="J29" i="53"/>
  <c r="M29" i="53"/>
  <c r="O29" i="53"/>
  <c r="Q29" i="53"/>
  <c r="J32" i="53"/>
  <c r="Q32" i="53"/>
  <c r="M32" i="53"/>
  <c r="O32" i="53"/>
  <c r="M17" i="53"/>
  <c r="O17" i="53"/>
  <c r="Q17" i="53"/>
  <c r="J34" i="53"/>
  <c r="Q34" i="53"/>
  <c r="M34" i="53"/>
  <c r="O34" i="53"/>
  <c r="Q50" i="53"/>
  <c r="M50" i="53"/>
  <c r="O50" i="53"/>
  <c r="Q16" i="53"/>
  <c r="M16" i="53"/>
  <c r="O16" i="53"/>
  <c r="M33" i="53"/>
  <c r="O33" i="53"/>
  <c r="Q33" i="53"/>
  <c r="M49" i="53"/>
  <c r="O49" i="53"/>
  <c r="Q49" i="53"/>
  <c r="J19" i="53"/>
  <c r="M19" i="53"/>
  <c r="O19" i="53"/>
  <c r="Q19" i="53"/>
  <c r="Q36" i="53"/>
  <c r="M36" i="53"/>
  <c r="O36" i="53"/>
  <c r="J52" i="53"/>
  <c r="Q52" i="53"/>
  <c r="M52" i="53"/>
  <c r="O52" i="53"/>
  <c r="Q18" i="53"/>
  <c r="M18" i="53"/>
  <c r="O18" i="53"/>
  <c r="M35" i="53"/>
  <c r="O35" i="53"/>
  <c r="Q35" i="53"/>
  <c r="M51" i="53"/>
  <c r="Q51" i="53"/>
  <c r="J14" i="53"/>
  <c r="O11" i="53"/>
  <c r="O61" i="53"/>
  <c r="O45" i="53"/>
  <c r="J60" i="53"/>
  <c r="M60" i="53"/>
  <c r="J23" i="35"/>
  <c r="J33" i="53"/>
  <c r="J50" i="53"/>
  <c r="J18" i="53"/>
  <c r="J17" i="53"/>
  <c r="J51" i="53"/>
  <c r="J49" i="53"/>
  <c r="J35" i="53"/>
  <c r="J30" i="53"/>
  <c r="J16" i="53"/>
  <c r="J31" i="53"/>
  <c r="J13" i="53"/>
  <c r="J46" i="53"/>
  <c r="J36" i="53"/>
  <c r="K61" i="53"/>
  <c r="K57" i="53"/>
  <c r="S57" i="53"/>
  <c r="K53" i="53"/>
  <c r="K49" i="53"/>
  <c r="S49" i="53"/>
  <c r="K45" i="53"/>
  <c r="K41" i="53"/>
  <c r="S41" i="53"/>
  <c r="K37" i="53"/>
  <c r="S37" i="53"/>
  <c r="K33" i="53"/>
  <c r="K29" i="53"/>
  <c r="S29" i="53"/>
  <c r="K25" i="53"/>
  <c r="K20" i="53"/>
  <c r="K16" i="53"/>
  <c r="S16" i="53"/>
  <c r="K12" i="53"/>
  <c r="K58" i="53"/>
  <c r="S58" i="53"/>
  <c r="K54" i="53"/>
  <c r="K46" i="53"/>
  <c r="S46" i="53"/>
  <c r="K21" i="53"/>
  <c r="S21" i="53"/>
  <c r="K59" i="53"/>
  <c r="K55" i="53"/>
  <c r="S55" i="53"/>
  <c r="K51" i="53"/>
  <c r="K47" i="53"/>
  <c r="K43" i="53"/>
  <c r="S43" i="53"/>
  <c r="K39" i="53"/>
  <c r="S39" i="53"/>
  <c r="K35" i="53"/>
  <c r="S35" i="53"/>
  <c r="K31" i="53"/>
  <c r="S31" i="53"/>
  <c r="K27" i="53"/>
  <c r="S27" i="53"/>
  <c r="K22" i="53"/>
  <c r="S22" i="53"/>
  <c r="K18" i="53"/>
  <c r="K14" i="53"/>
  <c r="S14" i="53"/>
  <c r="K60" i="53"/>
  <c r="K56" i="53"/>
  <c r="S56" i="53"/>
  <c r="K52" i="53"/>
  <c r="S52" i="53"/>
  <c r="K48" i="53"/>
  <c r="K44" i="53"/>
  <c r="K40" i="53"/>
  <c r="K36" i="53"/>
  <c r="K32" i="53"/>
  <c r="S32" i="53"/>
  <c r="K28" i="53"/>
  <c r="S28" i="53"/>
  <c r="K24" i="53"/>
  <c r="K23" i="53"/>
  <c r="K19" i="53"/>
  <c r="K15" i="53"/>
  <c r="S15" i="53"/>
  <c r="K11" i="53"/>
  <c r="S11" i="53"/>
  <c r="K50" i="53"/>
  <c r="K42" i="53"/>
  <c r="S42" i="53"/>
  <c r="K38" i="53"/>
  <c r="S38" i="53"/>
  <c r="K34" i="53"/>
  <c r="S34" i="53"/>
  <c r="K30" i="53"/>
  <c r="K26" i="53"/>
  <c r="K17" i="53"/>
  <c r="S17" i="53"/>
  <c r="K13" i="53"/>
  <c r="K38" i="36"/>
  <c r="K58" i="37"/>
  <c r="K49" i="36"/>
  <c r="K42" i="37"/>
  <c r="K39" i="37"/>
  <c r="K55" i="37"/>
  <c r="K46" i="37"/>
  <c r="J54" i="36"/>
  <c r="J35" i="36"/>
  <c r="K17" i="36"/>
  <c r="K56" i="36"/>
  <c r="K52" i="36"/>
  <c r="K19" i="37"/>
  <c r="K31" i="37"/>
  <c r="K43" i="37"/>
  <c r="K34" i="37"/>
  <c r="K15" i="37"/>
  <c r="K61" i="47"/>
  <c r="K59" i="47"/>
  <c r="K57" i="47"/>
  <c r="K55" i="47"/>
  <c r="K53" i="47"/>
  <c r="K51" i="47"/>
  <c r="K49" i="47"/>
  <c r="K47" i="47"/>
  <c r="K45" i="47"/>
  <c r="K43" i="47"/>
  <c r="K41" i="47"/>
  <c r="K39" i="47"/>
  <c r="K37" i="47"/>
  <c r="K35" i="47"/>
  <c r="K33" i="47"/>
  <c r="K31" i="47"/>
  <c r="K29" i="47"/>
  <c r="K27" i="47"/>
  <c r="K25" i="47"/>
  <c r="K23" i="47"/>
  <c r="K21" i="47"/>
  <c r="K19" i="47"/>
  <c r="K17" i="47"/>
  <c r="K15" i="47"/>
  <c r="K13" i="47"/>
  <c r="K11" i="47"/>
  <c r="K60" i="47"/>
  <c r="K52" i="47"/>
  <c r="K44" i="47"/>
  <c r="K36" i="47"/>
  <c r="K28" i="47"/>
  <c r="K20" i="47"/>
  <c r="K12" i="47"/>
  <c r="K58" i="47"/>
  <c r="K50" i="47"/>
  <c r="K42" i="47"/>
  <c r="K34" i="47"/>
  <c r="K26" i="47"/>
  <c r="K18" i="47"/>
  <c r="K56" i="47"/>
  <c r="K40" i="47"/>
  <c r="K24" i="47"/>
  <c r="K46" i="47"/>
  <c r="K30" i="47"/>
  <c r="K14" i="47"/>
  <c r="K32" i="47"/>
  <c r="K38" i="47"/>
  <c r="K48" i="47"/>
  <c r="K16" i="47"/>
  <c r="K54" i="47"/>
  <c r="K22" i="47"/>
  <c r="K54" i="37"/>
  <c r="K17" i="37"/>
  <c r="K41" i="37"/>
  <c r="K49" i="37"/>
  <c r="K60" i="46"/>
  <c r="K58" i="46"/>
  <c r="K56" i="46"/>
  <c r="K54" i="46"/>
  <c r="K52" i="46"/>
  <c r="K50" i="46"/>
  <c r="K48" i="46"/>
  <c r="K46" i="46"/>
  <c r="K44" i="46"/>
  <c r="K42" i="46"/>
  <c r="K40" i="46"/>
  <c r="K38" i="46"/>
  <c r="K36" i="46"/>
  <c r="K34" i="46"/>
  <c r="K32" i="46"/>
  <c r="K30" i="46"/>
  <c r="K28" i="46"/>
  <c r="K26" i="46"/>
  <c r="K24" i="46"/>
  <c r="K22" i="46"/>
  <c r="K20" i="46"/>
  <c r="K18" i="46"/>
  <c r="K16" i="46"/>
  <c r="K14" i="46"/>
  <c r="K12" i="46"/>
  <c r="K55" i="46"/>
  <c r="K47" i="46"/>
  <c r="K39" i="46"/>
  <c r="K31" i="46"/>
  <c r="K23" i="46"/>
  <c r="K15" i="46"/>
  <c r="K61" i="46"/>
  <c r="K53" i="46"/>
  <c r="K45" i="46"/>
  <c r="K37" i="46"/>
  <c r="K29" i="46"/>
  <c r="K21" i="46"/>
  <c r="K13" i="46"/>
  <c r="K59" i="46"/>
  <c r="K43" i="46"/>
  <c r="K27" i="46"/>
  <c r="K11" i="46"/>
  <c r="K49" i="46"/>
  <c r="K33" i="46"/>
  <c r="K17" i="46"/>
  <c r="K51" i="46"/>
  <c r="K19" i="46"/>
  <c r="K57" i="46"/>
  <c r="K25" i="46"/>
  <c r="K35" i="46"/>
  <c r="K41" i="46"/>
  <c r="K61" i="7"/>
  <c r="K11" i="7"/>
  <c r="J44" i="36"/>
  <c r="J41" i="36"/>
  <c r="K37" i="36"/>
  <c r="K15" i="36"/>
  <c r="K47" i="36"/>
  <c r="K38" i="37"/>
  <c r="K26" i="37"/>
  <c r="K13" i="37"/>
  <c r="K21" i="37"/>
  <c r="K29" i="37"/>
  <c r="K37" i="37"/>
  <c r="K45" i="37"/>
  <c r="K53" i="37"/>
  <c r="K61" i="30"/>
  <c r="I57" i="30"/>
  <c r="K57" i="30"/>
  <c r="K11" i="30"/>
  <c r="K32" i="37"/>
  <c r="K47" i="37"/>
  <c r="K58" i="31"/>
  <c r="K55" i="31"/>
  <c r="K50" i="31"/>
  <c r="K47" i="31"/>
  <c r="K42" i="31"/>
  <c r="K39" i="31"/>
  <c r="K34" i="31"/>
  <c r="K31" i="31"/>
  <c r="K26" i="31"/>
  <c r="K23" i="31"/>
  <c r="K18" i="31"/>
  <c r="K15" i="31"/>
  <c r="K61" i="31"/>
  <c r="K56" i="31"/>
  <c r="K53" i="31"/>
  <c r="K48" i="31"/>
  <c r="K45" i="31"/>
  <c r="K40" i="31"/>
  <c r="K37" i="31"/>
  <c r="K32" i="31"/>
  <c r="K29" i="31"/>
  <c r="K24" i="31"/>
  <c r="K21" i="31"/>
  <c r="K16" i="31"/>
  <c r="K13" i="31"/>
  <c r="K11" i="31"/>
  <c r="K59" i="31"/>
  <c r="K54" i="31"/>
  <c r="K43" i="31"/>
  <c r="K38" i="31"/>
  <c r="K27" i="31"/>
  <c r="K22" i="31"/>
  <c r="K57" i="31"/>
  <c r="K52" i="31"/>
  <c r="K41" i="31"/>
  <c r="K36" i="31"/>
  <c r="K25" i="31"/>
  <c r="K20" i="31"/>
  <c r="K51" i="31"/>
  <c r="K46" i="31"/>
  <c r="K35" i="31"/>
  <c r="K30" i="31"/>
  <c r="K19" i="31"/>
  <c r="K14" i="31"/>
  <c r="K60" i="31"/>
  <c r="K49" i="31"/>
  <c r="K44" i="31"/>
  <c r="K33" i="31"/>
  <c r="K28" i="31"/>
  <c r="K17" i="31"/>
  <c r="K12" i="31"/>
  <c r="J12" i="36"/>
  <c r="K39" i="36"/>
  <c r="K22" i="37"/>
  <c r="K60" i="49"/>
  <c r="K58" i="49"/>
  <c r="K56" i="49"/>
  <c r="K54" i="49"/>
  <c r="K52" i="49"/>
  <c r="K50" i="49"/>
  <c r="K48" i="49"/>
  <c r="K46" i="49"/>
  <c r="K44" i="49"/>
  <c r="K42" i="49"/>
  <c r="K40" i="49"/>
  <c r="K38" i="49"/>
  <c r="K36" i="49"/>
  <c r="K34" i="49"/>
  <c r="K32" i="49"/>
  <c r="K30" i="49"/>
  <c r="K28" i="49"/>
  <c r="K26" i="49"/>
  <c r="K24" i="49"/>
  <c r="K22" i="49"/>
  <c r="K20" i="49"/>
  <c r="K18" i="49"/>
  <c r="K16" i="49"/>
  <c r="K14" i="49"/>
  <c r="K12" i="49"/>
  <c r="K57" i="49"/>
  <c r="K49" i="49"/>
  <c r="K41" i="49"/>
  <c r="K33" i="49"/>
  <c r="K25" i="49"/>
  <c r="K17" i="49"/>
  <c r="K55" i="49"/>
  <c r="K47" i="49"/>
  <c r="K39" i="49"/>
  <c r="K31" i="49"/>
  <c r="K23" i="49"/>
  <c r="K15" i="49"/>
  <c r="K53" i="49"/>
  <c r="K37" i="49"/>
  <c r="K21" i="49"/>
  <c r="K59" i="49"/>
  <c r="K43" i="49"/>
  <c r="K27" i="49"/>
  <c r="K11" i="49"/>
  <c r="K45" i="49"/>
  <c r="K13" i="49"/>
  <c r="K51" i="49"/>
  <c r="K19" i="49"/>
  <c r="K61" i="49"/>
  <c r="K29" i="49"/>
  <c r="K35" i="49"/>
  <c r="K60" i="33"/>
  <c r="K58" i="33"/>
  <c r="K56" i="33"/>
  <c r="K54" i="33"/>
  <c r="K52" i="33"/>
  <c r="K50" i="33"/>
  <c r="K48" i="33"/>
  <c r="K46" i="33"/>
  <c r="K44" i="33"/>
  <c r="K42" i="33"/>
  <c r="K40" i="33"/>
  <c r="K38" i="33"/>
  <c r="K36" i="33"/>
  <c r="K34" i="33"/>
  <c r="K32" i="33"/>
  <c r="K30" i="33"/>
  <c r="K28" i="33"/>
  <c r="K25" i="33"/>
  <c r="K20" i="33"/>
  <c r="K17" i="33"/>
  <c r="K12" i="33"/>
  <c r="K59" i="33"/>
  <c r="K55" i="33"/>
  <c r="K51" i="33"/>
  <c r="K47" i="33"/>
  <c r="K43" i="33"/>
  <c r="K39" i="33"/>
  <c r="K35" i="33"/>
  <c r="K31" i="33"/>
  <c r="K27" i="33"/>
  <c r="K22" i="33"/>
  <c r="K19" i="33"/>
  <c r="K14" i="33"/>
  <c r="K11" i="33"/>
  <c r="K24" i="33"/>
  <c r="K13" i="33"/>
  <c r="K61" i="33"/>
  <c r="K57" i="33"/>
  <c r="K53" i="33"/>
  <c r="K49" i="33"/>
  <c r="K45" i="33"/>
  <c r="K41" i="33"/>
  <c r="K37" i="33"/>
  <c r="K33" i="33"/>
  <c r="K29" i="33"/>
  <c r="K26" i="33"/>
  <c r="K23" i="33"/>
  <c r="K18" i="33"/>
  <c r="K15" i="33"/>
  <c r="K21" i="33"/>
  <c r="K16" i="33"/>
  <c r="J22" i="36"/>
  <c r="J18" i="36"/>
  <c r="J50" i="36"/>
  <c r="K30" i="37"/>
  <c r="K18" i="37"/>
  <c r="K50" i="37"/>
  <c r="K24" i="37"/>
  <c r="K40" i="37"/>
  <c r="K56" i="37"/>
  <c r="K57" i="37"/>
  <c r="K13" i="35"/>
  <c r="K15" i="35"/>
  <c r="K17" i="35"/>
  <c r="K19" i="35"/>
  <c r="K21" i="35"/>
  <c r="K23" i="35"/>
  <c r="K25" i="35"/>
  <c r="K27" i="35"/>
  <c r="K29" i="35"/>
  <c r="K31" i="35"/>
  <c r="K33" i="35"/>
  <c r="K35" i="35"/>
  <c r="K37" i="35"/>
  <c r="K41" i="35"/>
  <c r="K43" i="35"/>
  <c r="K45" i="35"/>
  <c r="K49" i="35"/>
  <c r="K51" i="35"/>
  <c r="K55" i="35"/>
  <c r="K57" i="35"/>
  <c r="K61" i="35"/>
  <c r="K12" i="35"/>
  <c r="K16" i="35"/>
  <c r="K18" i="35"/>
  <c r="K22" i="35"/>
  <c r="K24" i="35"/>
  <c r="K28" i="35"/>
  <c r="K11" i="35"/>
  <c r="K14" i="35"/>
  <c r="K20" i="35"/>
  <c r="K26" i="35"/>
  <c r="K39" i="35"/>
  <c r="K47" i="35"/>
  <c r="K53" i="35"/>
  <c r="K59" i="35"/>
  <c r="K40" i="35"/>
  <c r="K30" i="35"/>
  <c r="K38" i="35"/>
  <c r="K46" i="35"/>
  <c r="K54" i="35"/>
  <c r="K32" i="35"/>
  <c r="K48" i="35"/>
  <c r="K56" i="35"/>
  <c r="K34" i="35"/>
  <c r="K42" i="35"/>
  <c r="K50" i="35"/>
  <c r="K58" i="35"/>
  <c r="K36" i="35"/>
  <c r="K44" i="35"/>
  <c r="K52" i="35"/>
  <c r="K60" i="35"/>
  <c r="I32" i="30"/>
  <c r="J32" i="30"/>
  <c r="I15" i="30"/>
  <c r="J15" i="30"/>
  <c r="I47" i="30"/>
  <c r="J47" i="30"/>
  <c r="I26" i="30"/>
  <c r="J26" i="30"/>
  <c r="I58" i="30"/>
  <c r="J58" i="30"/>
  <c r="I41" i="30"/>
  <c r="J41" i="30"/>
  <c r="I12" i="30"/>
  <c r="J12" i="30"/>
  <c r="I44" i="30"/>
  <c r="J44" i="30"/>
  <c r="I27" i="30"/>
  <c r="J27" i="30"/>
  <c r="I59" i="30"/>
  <c r="J59" i="30"/>
  <c r="I30" i="30"/>
  <c r="J30" i="30"/>
  <c r="I13" i="30"/>
  <c r="J13" i="30"/>
  <c r="I45" i="30"/>
  <c r="J45" i="30"/>
  <c r="I40" i="30"/>
  <c r="J40" i="30"/>
  <c r="I23" i="30"/>
  <c r="J23" i="30"/>
  <c r="I55" i="30"/>
  <c r="J55" i="30"/>
  <c r="I34" i="30"/>
  <c r="J34" i="30"/>
  <c r="I17" i="30"/>
  <c r="J17" i="30"/>
  <c r="I49" i="30"/>
  <c r="J49" i="30"/>
  <c r="I20" i="30"/>
  <c r="J20" i="30"/>
  <c r="I52" i="30"/>
  <c r="J52" i="30"/>
  <c r="I35" i="30"/>
  <c r="J35" i="30"/>
  <c r="I38" i="30"/>
  <c r="J38" i="30"/>
  <c r="I21" i="30"/>
  <c r="J21" i="30"/>
  <c r="I53" i="30"/>
  <c r="J53" i="30"/>
  <c r="I42" i="30"/>
  <c r="J42" i="30"/>
  <c r="I28" i="30"/>
  <c r="J28" i="30"/>
  <c r="I43" i="30"/>
  <c r="J43" i="30"/>
  <c r="I14" i="30"/>
  <c r="J14" i="30"/>
  <c r="I29" i="30"/>
  <c r="J29" i="30"/>
  <c r="I24" i="30"/>
  <c r="J24" i="30"/>
  <c r="I56" i="30"/>
  <c r="J56" i="30"/>
  <c r="I39" i="30"/>
  <c r="J39" i="30"/>
  <c r="I18" i="30"/>
  <c r="J18" i="30"/>
  <c r="I50" i="30"/>
  <c r="J50" i="30"/>
  <c r="I33" i="30"/>
  <c r="J33" i="30"/>
  <c r="I36" i="30"/>
  <c r="J36" i="30"/>
  <c r="I19" i="30"/>
  <c r="J19" i="30"/>
  <c r="I51" i="30"/>
  <c r="J51" i="30"/>
  <c r="I22" i="30"/>
  <c r="J22" i="30"/>
  <c r="I54" i="30"/>
  <c r="J54" i="30"/>
  <c r="I37" i="30"/>
  <c r="J37" i="30"/>
  <c r="I16" i="30"/>
  <c r="J16" i="30"/>
  <c r="I48" i="30"/>
  <c r="J48" i="30"/>
  <c r="I31" i="30"/>
  <c r="J31" i="30"/>
  <c r="I25" i="30"/>
  <c r="J25" i="30"/>
  <c r="J57" i="30"/>
  <c r="I60" i="30"/>
  <c r="J60" i="30"/>
  <c r="I46" i="30"/>
  <c r="J46" i="30"/>
  <c r="K50" i="30"/>
  <c r="S25" i="53"/>
  <c r="S13" i="53"/>
  <c r="K15" i="30"/>
  <c r="K25" i="30"/>
  <c r="K40" i="30"/>
  <c r="K59" i="30"/>
  <c r="K24" i="30"/>
  <c r="S20" i="53"/>
  <c r="N29" i="53"/>
  <c r="R29" i="53"/>
  <c r="S26" i="53"/>
  <c r="S19" i="53"/>
  <c r="S48" i="53"/>
  <c r="S45" i="53"/>
  <c r="S61" i="53"/>
  <c r="S40" i="53"/>
  <c r="N52" i="53"/>
  <c r="R52" i="53"/>
  <c r="S44" i="53"/>
  <c r="S30" i="53"/>
  <c r="S50" i="53"/>
  <c r="S23" i="53"/>
  <c r="S36" i="53"/>
  <c r="S18" i="53"/>
  <c r="S33" i="53"/>
  <c r="N59" i="53"/>
  <c r="R59" i="53"/>
  <c r="N44" i="53"/>
  <c r="R44" i="53"/>
  <c r="N47" i="53"/>
  <c r="R47" i="53"/>
  <c r="N12" i="53"/>
  <c r="R12" i="53"/>
  <c r="N24" i="53"/>
  <c r="R24" i="53"/>
  <c r="N53" i="53"/>
  <c r="R53" i="53"/>
  <c r="N54" i="53"/>
  <c r="R54" i="53"/>
  <c r="O47" i="53"/>
  <c r="S47" i="53"/>
  <c r="N35" i="53"/>
  <c r="R35" i="53"/>
  <c r="N49" i="53"/>
  <c r="R49" i="53"/>
  <c r="N27" i="53"/>
  <c r="R27" i="53"/>
  <c r="N41" i="53"/>
  <c r="R41" i="53"/>
  <c r="N42" i="53"/>
  <c r="R42" i="53"/>
  <c r="N31" i="53"/>
  <c r="R31" i="53"/>
  <c r="N15" i="53"/>
  <c r="R15" i="53"/>
  <c r="N55" i="53"/>
  <c r="R55" i="53"/>
  <c r="N56" i="53"/>
  <c r="R56" i="53"/>
  <c r="N60" i="53"/>
  <c r="R60" i="53"/>
  <c r="O54" i="53"/>
  <c r="S54" i="53"/>
  <c r="O53" i="53"/>
  <c r="S53" i="53"/>
  <c r="O12" i="53"/>
  <c r="S12" i="53"/>
  <c r="O59" i="53"/>
  <c r="S59" i="53"/>
  <c r="N18" i="53"/>
  <c r="R18" i="53"/>
  <c r="N19" i="53"/>
  <c r="R19" i="53"/>
  <c r="N50" i="53"/>
  <c r="R50" i="53"/>
  <c r="N32" i="53"/>
  <c r="R32" i="53"/>
  <c r="N43" i="53"/>
  <c r="R43" i="53"/>
  <c r="N28" i="53"/>
  <c r="R28" i="53"/>
  <c r="N57" i="53"/>
  <c r="R57" i="53"/>
  <c r="N58" i="53"/>
  <c r="R58" i="53"/>
  <c r="N14" i="53"/>
  <c r="R14" i="53"/>
  <c r="N22" i="53"/>
  <c r="R22" i="53"/>
  <c r="N37" i="53"/>
  <c r="R37" i="53"/>
  <c r="N38" i="53"/>
  <c r="R38" i="53"/>
  <c r="N21" i="53"/>
  <c r="R21" i="53"/>
  <c r="N46" i="53"/>
  <c r="R46" i="53"/>
  <c r="N51" i="53"/>
  <c r="R51" i="53"/>
  <c r="N36" i="53"/>
  <c r="R36" i="53"/>
  <c r="N33" i="53"/>
  <c r="R33" i="53"/>
  <c r="N13" i="53"/>
  <c r="R13" i="53"/>
  <c r="O24" i="53"/>
  <c r="S24" i="53"/>
  <c r="O51" i="53"/>
  <c r="S51" i="53"/>
  <c r="N16" i="53"/>
  <c r="R16" i="53"/>
  <c r="N34" i="53"/>
  <c r="R34" i="53"/>
  <c r="N17" i="53"/>
  <c r="R17" i="53"/>
  <c r="N30" i="53"/>
  <c r="R30" i="53"/>
  <c r="N25" i="53"/>
  <c r="R25" i="53"/>
  <c r="N26" i="53"/>
  <c r="R26" i="53"/>
  <c r="N23" i="53"/>
  <c r="R23" i="53"/>
  <c r="N39" i="53"/>
  <c r="R39" i="53"/>
  <c r="N40" i="53"/>
  <c r="R40" i="53"/>
  <c r="N20" i="53"/>
  <c r="R20" i="53"/>
  <c r="N48" i="53"/>
  <c r="R48" i="53"/>
  <c r="N45" i="53"/>
  <c r="R45" i="53"/>
  <c r="O60" i="53"/>
  <c r="S60" i="53"/>
  <c r="K56" i="30"/>
  <c r="K43" i="30"/>
  <c r="K29" i="30"/>
  <c r="K16" i="30"/>
  <c r="K42" i="30"/>
  <c r="K47" i="30"/>
  <c r="K41" i="30"/>
  <c r="K18" i="30"/>
  <c r="K48" i="30"/>
  <c r="K27" i="30"/>
  <c r="K32" i="30"/>
  <c r="K31" i="30"/>
  <c r="K45" i="30"/>
  <c r="K26" i="30"/>
  <c r="K34" i="30"/>
  <c r="K58" i="30"/>
  <c r="K23" i="30"/>
  <c r="K39" i="30"/>
  <c r="K55" i="30"/>
  <c r="K21" i="30"/>
  <c r="K37" i="30"/>
  <c r="K53" i="30"/>
  <c r="K14" i="30"/>
  <c r="K22" i="30"/>
  <c r="K30" i="30"/>
  <c r="K38" i="30"/>
  <c r="K46" i="30"/>
  <c r="K54" i="30"/>
  <c r="K13" i="30"/>
  <c r="K19" i="30"/>
  <c r="K35" i="30"/>
  <c r="K51" i="30"/>
  <c r="K17" i="30"/>
  <c r="K33" i="30"/>
  <c r="K49" i="30"/>
  <c r="K12" i="30"/>
  <c r="K20" i="30"/>
  <c r="K28" i="30"/>
  <c r="K36" i="30"/>
  <c r="K44" i="30"/>
  <c r="K52" i="30"/>
  <c r="K60" i="30"/>
  <c r="I52" i="7"/>
  <c r="I55" i="7"/>
  <c r="I54" i="7"/>
  <c r="I57" i="7"/>
  <c r="I50" i="7"/>
  <c r="I53" i="7"/>
  <c r="I58" i="7"/>
  <c r="I51" i="7"/>
  <c r="I56" i="7"/>
  <c r="I59" i="7"/>
  <c r="I14" i="7"/>
  <c r="I16" i="7"/>
  <c r="I18" i="7"/>
  <c r="I20" i="7"/>
  <c r="I22" i="7"/>
  <c r="I26" i="7"/>
  <c r="I13" i="7"/>
  <c r="I15" i="7"/>
  <c r="I17" i="7"/>
  <c r="I19" i="7"/>
  <c r="I21" i="7"/>
  <c r="I23" i="7"/>
  <c r="I25" i="7"/>
  <c r="I27" i="7"/>
  <c r="I24" i="7"/>
  <c r="I29" i="7"/>
  <c r="I45" i="7"/>
  <c r="I60" i="7"/>
  <c r="I36" i="7"/>
  <c r="I48" i="7"/>
  <c r="I46" i="7"/>
  <c r="I43" i="7"/>
  <c r="I34" i="7"/>
  <c r="I44" i="7"/>
  <c r="I40" i="7"/>
  <c r="I38" i="7"/>
  <c r="I35" i="7"/>
  <c r="I39" i="7"/>
  <c r="I28" i="7"/>
  <c r="I32" i="7"/>
  <c r="I31" i="7"/>
  <c r="I41" i="7"/>
  <c r="I12" i="7"/>
  <c r="I30" i="7"/>
  <c r="I47" i="7"/>
  <c r="I33" i="7"/>
  <c r="I37" i="7"/>
  <c r="I42" i="7"/>
  <c r="I49" i="7"/>
  <c r="J41" i="7"/>
  <c r="K41" i="7"/>
  <c r="J44" i="7"/>
  <c r="K44" i="7"/>
  <c r="J29" i="7"/>
  <c r="K29" i="7"/>
  <c r="J15" i="7"/>
  <c r="K15" i="7"/>
  <c r="J59" i="7"/>
  <c r="K59" i="7"/>
  <c r="J55" i="7"/>
  <c r="K55" i="7"/>
  <c r="J47" i="7"/>
  <c r="K47" i="7"/>
  <c r="J35" i="7"/>
  <c r="K35" i="7"/>
  <c r="J36" i="7"/>
  <c r="K36" i="7"/>
  <c r="J21" i="7"/>
  <c r="K21" i="7"/>
  <c r="J18" i="7"/>
  <c r="K18" i="7"/>
  <c r="J50" i="7"/>
  <c r="K50" i="7"/>
  <c r="J37" i="7"/>
  <c r="K37" i="7"/>
  <c r="J12" i="7"/>
  <c r="K12" i="7"/>
  <c r="J28" i="7"/>
  <c r="K28" i="7"/>
  <c r="J40" i="7"/>
  <c r="K40" i="7"/>
  <c r="J46" i="7"/>
  <c r="K46" i="7"/>
  <c r="J45" i="7"/>
  <c r="K45" i="7"/>
  <c r="J25" i="7"/>
  <c r="K25" i="7"/>
  <c r="J17" i="7"/>
  <c r="K17" i="7"/>
  <c r="J22" i="7"/>
  <c r="K22" i="7"/>
  <c r="J14" i="7"/>
  <c r="K14" i="7"/>
  <c r="J58" i="7"/>
  <c r="K58" i="7"/>
  <c r="J54" i="7"/>
  <c r="K54" i="7"/>
  <c r="J33" i="7"/>
  <c r="K33" i="7"/>
  <c r="J39" i="7"/>
  <c r="K39" i="7"/>
  <c r="J48" i="7"/>
  <c r="K48" i="7"/>
  <c r="J23" i="7"/>
  <c r="K23" i="7"/>
  <c r="J20" i="7"/>
  <c r="K20" i="7"/>
  <c r="J53" i="7"/>
  <c r="K53" i="7"/>
  <c r="J49" i="7"/>
  <c r="K49" i="7"/>
  <c r="J31" i="7"/>
  <c r="K31" i="7"/>
  <c r="J34" i="7"/>
  <c r="K34" i="7"/>
  <c r="J24" i="7"/>
  <c r="K24" i="7"/>
  <c r="J13" i="7"/>
  <c r="K13" i="7"/>
  <c r="J56" i="7"/>
  <c r="K56" i="7"/>
  <c r="J52" i="7"/>
  <c r="K52" i="7"/>
  <c r="J42" i="7"/>
  <c r="K42" i="7"/>
  <c r="J30" i="7"/>
  <c r="K30" i="7"/>
  <c r="J32" i="7"/>
  <c r="K32" i="7"/>
  <c r="J38" i="7"/>
  <c r="K38" i="7"/>
  <c r="J43" i="7"/>
  <c r="K43" i="7"/>
  <c r="J60" i="7"/>
  <c r="K60" i="7"/>
  <c r="J27" i="7"/>
  <c r="K27" i="7"/>
  <c r="J19" i="7"/>
  <c r="K19" i="7"/>
  <c r="J26" i="7"/>
  <c r="K26" i="7"/>
  <c r="J16" i="7"/>
  <c r="K16" i="7"/>
  <c r="J51" i="7"/>
  <c r="K51" i="7"/>
  <c r="J57" i="7"/>
  <c r="K57" i="7"/>
</calcChain>
</file>

<file path=xl/sharedStrings.xml><?xml version="1.0" encoding="utf-8"?>
<sst xmlns="http://schemas.openxmlformats.org/spreadsheetml/2006/main" count="333" uniqueCount="40">
  <si>
    <t>Offence Damage (physical, ranged, tactical)</t>
  </si>
  <si>
    <t>Level =</t>
  </si>
  <si>
    <t>change level here</t>
  </si>
  <si>
    <r>
      <t>L</t>
    </r>
    <r>
      <rPr>
        <vertAlign val="subscript"/>
        <sz val="11"/>
        <rFont val="Arial"/>
        <family val="2"/>
      </rPr>
      <t>min</t>
    </r>
  </si>
  <si>
    <r>
      <t>L</t>
    </r>
    <r>
      <rPr>
        <vertAlign val="subscript"/>
        <sz val="11"/>
        <rFont val="Arial"/>
        <family val="2"/>
      </rPr>
      <t>max</t>
    </r>
  </si>
  <si>
    <t>C</t>
  </si>
  <si>
    <t>Pcap</t>
  </si>
  <si>
    <t>RcapF</t>
  </si>
  <si>
    <t>RcapC</t>
  </si>
  <si>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/>
    </r>
  </si>
  <si>
    <t>T2</t>
  </si>
  <si>
    <t>Rating Cap =</t>
  </si>
  <si>
    <t>hard cap</t>
  </si>
  <si>
    <t>Y</t>
  </si>
  <si>
    <t>T2 rating penalty</t>
  </si>
  <si>
    <t>Rating</t>
  </si>
  <si>
    <t>Percentage T1</t>
  </si>
  <si>
    <t>Percentage T2</t>
  </si>
  <si>
    <t>Graph x-Scaling</t>
  </si>
  <si>
    <t>Outgoing Healing</t>
  </si>
  <si>
    <t>uses Level from Offence Damage sheet</t>
  </si>
  <si>
    <t>Critical Hit Chance</t>
  </si>
  <si>
    <t>Critical / Devastating Magnitude</t>
  </si>
  <si>
    <t>N</t>
  </si>
  <si>
    <t>Finesse</t>
  </si>
  <si>
    <r>
      <rPr>
        <b/>
        <sz val="11"/>
        <rFont val="Arial"/>
        <family val="2"/>
      </rPr>
      <t xml:space="preserve">Resistance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</si>
  <si>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t>Critical Defence</t>
  </si>
  <si>
    <t>Incoming Healing</t>
  </si>
  <si>
    <r>
      <rPr>
        <b/>
        <sz val="11"/>
        <rFont val="Arial"/>
        <family val="2"/>
      </rPr>
      <t xml:space="preserve">Full Block, Parry, Evade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</si>
  <si>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Partial Block, Parry, Evade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</si>
  <si>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Partial Block, Parry, Evade Mitigation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</si>
  <si>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Full/Partial BPE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</si>
  <si>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t>Full BPE</t>
  </si>
  <si>
    <t>Partial BPE</t>
  </si>
  <si>
    <t>Full or Partial Chance BPE</t>
  </si>
  <si>
    <r>
      <rPr>
        <b/>
        <sz val="11"/>
        <rFont val="Arial"/>
        <family val="2"/>
      </rPr>
      <t xml:space="preserve">Block, Parry, Evade Comparison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</si>
  <si>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 xml:space="preserve">Block, Parry, Evade Comparison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</si>
  <si>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Light Armour Mitigation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</si>
  <si>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Medium Armour Mitigation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</si>
  <si>
    <r>
      <rPr>
        <b/>
        <sz val="11"/>
        <rFont val="Arial"/>
        <family val="2"/>
      </rPr>
      <t xml:space="preserve">Heavy Armour Mitigation </t>
    </r>
    <r>
      <rPr>
        <b/>
        <sz val="11"/>
        <color theme="8" tint="-0.249977111117893"/>
        <rFont val="Arial"/>
        <family val="2"/>
      </rPr>
      <t>T1</t>
    </r>
    <r>
      <rPr>
        <b/>
        <sz val="11"/>
        <rFont val="Arial"/>
        <family val="2"/>
      </rPr>
      <t xml:space="preserve"> / </t>
    </r>
    <r>
      <rPr>
        <b/>
        <sz val="11"/>
        <color theme="4" tint="-0.249977111117893"/>
        <rFont val="Arial"/>
        <family val="2"/>
      </rPr>
      <t>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</si>
</sst>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%"/>
    <numFmt numFmtId="166" formatCode="0.000"/>
  </numFmts>
  <fonts count="12">
    <font>
      <sz val="10"/>
      <name val="Arial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color theme="4" tint="-0.249977111117893"/>
      <name val="Arial"/>
      <family val="2"/>
    </font>
    <font>
      <b/>
      <sz val="11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name val="Arial"/>
      <family val="2"/>
      <scheme val="minor"/>
    </font>
    <font>
      <i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mediumGray">
        <fgColor theme="0"/>
      </patternFill>
    </fill>
    <fill>
      <patternFill patternType="mediumGray">
        <fgColor theme="0" tint="-0.14996795556505021"/>
        <bgColor indexed="65"/>
      </patternFill>
    </fill>
    <fill>
      <patternFill patternType="mediumGray">
        <fgColor theme="0"/>
        <bgColor theme="0" tint="-4.9989318521683403E-2"/>
      </patternFill>
    </fill>
    <fill>
      <patternFill patternType="mediumGray">
        <fgColor theme="0"/>
        <bgColor theme="6" tint="0.79998168889431442"/>
      </patternFill>
    </fill>
    <fill>
      <patternFill patternType="mediumGray">
        <fgColor theme="0"/>
        <bgColor theme="0" tint="-0.14999847407452621"/>
      </patternFill>
    </fill>
    <fill>
      <patternFill patternType="mediumGray">
        <fgColor theme="0"/>
        <bgColor theme="6" tint="0.5999938962981048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3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 indent="1"/>
    </xf>
    <xf numFmtId="3" fontId="1" fillId="5" borderId="1" xfId="0" applyNumberFormat="1" applyFont="1" applyFill="1" applyBorder="1" applyAlignment="1">
      <alignment horizontal="right" vertical="center" indent="1"/>
    </xf>
    <xf numFmtId="166" fontId="1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6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/>
    </xf>
    <xf numFmtId="9" fontId="1" fillId="4" borderId="5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right" vertical="center" indent="1"/>
    </xf>
    <xf numFmtId="0" fontId="9" fillId="3" borderId="1" xfId="0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166" fontId="1" fillId="4" borderId="6" xfId="0" applyNumberFormat="1" applyFont="1" applyFill="1" applyBorder="1" applyAlignment="1">
      <alignment horizontal="center" vertical="center"/>
    </xf>
    <xf numFmtId="9" fontId="1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left" vertical="center" indent="1"/>
    </xf>
    <xf numFmtId="0" fontId="3" fillId="3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2"/>
    </xf>
    <xf numFmtId="0" fontId="6" fillId="3" borderId="3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left" vertical="center" indent="2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20606"/>
      <rgbColor rgb="00BBFDC3"/>
      <rgbColor rgb="001C4CE4"/>
      <rgbColor rgb="00FDF0BB"/>
      <rgbColor rgb="00F7C1C1"/>
      <rgbColor rgb="00BBFDFD"/>
      <rgbColor rgb="00740404"/>
      <rgbColor rgb="0000A013"/>
      <rgbColor rgb="00041174"/>
      <rgbColor rgb="009B8605"/>
      <rgbColor rgb="00800080"/>
      <rgbColor rgb="00008080"/>
      <rgbColor rgb="00F0F0F0"/>
      <rgbColor rgb="00A0A0A0"/>
      <rgbColor rgb="00EF7979"/>
      <rgbColor rgb="00F3A761"/>
      <rgbColor rgb="00EDD767"/>
      <rgbColor rgb="0075DF82"/>
      <rgbColor rgb="0075DFDF"/>
      <rgbColor rgb="00859BE3"/>
      <rgbColor rgb="00A775DF"/>
      <rgbColor rgb="00DF75B4"/>
      <rgbColor rgb="006F3131"/>
      <rgbColor rgb="006F4C31"/>
      <rgbColor rgb="006F6631"/>
      <rgbColor rgb="0037693D"/>
      <rgbColor rgb="00376969"/>
      <rgbColor rgb="00374369"/>
      <rgbColor rgb="004F3769"/>
      <rgbColor rgb="00693755"/>
      <rgbColor rgb="00D2DCFA"/>
      <rgbColor rgb="00EDFDFD"/>
      <rgbColor rgb="00EDFDEF"/>
      <rgbColor rgb="00FDFAED"/>
      <rgbColor rgb="00EDF1FD"/>
      <rgbColor rgb="00FDEDED"/>
      <rgbColor rgb="00F6E2FE"/>
      <rgbColor rgb="00FEF4EC"/>
      <rgbColor rgb="007995EF"/>
      <rgbColor rgb="0033CCCC"/>
      <rgbColor rgb="00FFC819"/>
      <rgbColor rgb="00FDDABB"/>
      <rgbColor rgb="00F88720"/>
      <rgbColor rgb="00F06700"/>
      <rgbColor rgb="00B179EF"/>
      <rgbColor rgb="00DCDCDC"/>
      <rgbColor rgb="00024A4E"/>
      <rgbColor rgb="0054D864"/>
      <rgbColor rgb="00024E0B"/>
      <rgbColor rgb="004E4302"/>
      <rgbColor rgb="009B4C05"/>
      <rgbColor rgb="00EABBFD"/>
      <rgbColor rgb="004C00A0"/>
      <rgbColor rgb="0050505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OffenceDmg!$B$1</c:f>
          <c:strCache>
            <c:ptCount val="1"/>
            <c:pt idx="0">
              <c:v>Offence Damage (physical, ranged, tactical)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OffenceDmg!$B$1</c:f>
              <c:strCache>
                <c:ptCount val="1"/>
                <c:pt idx="0">
                  <c:v>Offence Damage (physical, ranged, tactical)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OffenceDmg!$I$11:$I$61</c:f>
              <c:numCache>
                <c:formatCode>#,##0</c:formatCode>
                <c:ptCount val="51"/>
                <c:pt idx="0">
                  <c:v>0</c:v>
                </c:pt>
                <c:pt idx="1">
                  <c:v>4800</c:v>
                </c:pt>
                <c:pt idx="2">
                  <c:v>9600</c:v>
                </c:pt>
                <c:pt idx="3">
                  <c:v>14400</c:v>
                </c:pt>
                <c:pt idx="4">
                  <c:v>19200</c:v>
                </c:pt>
                <c:pt idx="5">
                  <c:v>24000</c:v>
                </c:pt>
                <c:pt idx="6">
                  <c:v>28800</c:v>
                </c:pt>
                <c:pt idx="7">
                  <c:v>33600</c:v>
                </c:pt>
                <c:pt idx="8">
                  <c:v>38400</c:v>
                </c:pt>
                <c:pt idx="9">
                  <c:v>43200</c:v>
                </c:pt>
                <c:pt idx="10">
                  <c:v>48000</c:v>
                </c:pt>
                <c:pt idx="11">
                  <c:v>52800</c:v>
                </c:pt>
                <c:pt idx="12">
                  <c:v>57600</c:v>
                </c:pt>
                <c:pt idx="13">
                  <c:v>62400</c:v>
                </c:pt>
                <c:pt idx="14">
                  <c:v>67200</c:v>
                </c:pt>
                <c:pt idx="15">
                  <c:v>72000</c:v>
                </c:pt>
                <c:pt idx="16">
                  <c:v>76800</c:v>
                </c:pt>
                <c:pt idx="17">
                  <c:v>81600</c:v>
                </c:pt>
                <c:pt idx="18">
                  <c:v>86400</c:v>
                </c:pt>
                <c:pt idx="19">
                  <c:v>91200</c:v>
                </c:pt>
                <c:pt idx="20">
                  <c:v>96000</c:v>
                </c:pt>
                <c:pt idx="21">
                  <c:v>100800</c:v>
                </c:pt>
                <c:pt idx="22">
                  <c:v>105600</c:v>
                </c:pt>
                <c:pt idx="23">
                  <c:v>110400</c:v>
                </c:pt>
                <c:pt idx="24">
                  <c:v>115200</c:v>
                </c:pt>
                <c:pt idx="25">
                  <c:v>120000</c:v>
                </c:pt>
                <c:pt idx="26">
                  <c:v>124800</c:v>
                </c:pt>
                <c:pt idx="27">
                  <c:v>129600</c:v>
                </c:pt>
                <c:pt idx="28">
                  <c:v>134400</c:v>
                </c:pt>
                <c:pt idx="29">
                  <c:v>139200</c:v>
                </c:pt>
                <c:pt idx="30">
                  <c:v>144000</c:v>
                </c:pt>
                <c:pt idx="31">
                  <c:v>148800</c:v>
                </c:pt>
                <c:pt idx="32">
                  <c:v>153600</c:v>
                </c:pt>
                <c:pt idx="33">
                  <c:v>158400</c:v>
                </c:pt>
                <c:pt idx="34">
                  <c:v>163200</c:v>
                </c:pt>
                <c:pt idx="35">
                  <c:v>168000</c:v>
                </c:pt>
                <c:pt idx="36">
                  <c:v>172800</c:v>
                </c:pt>
                <c:pt idx="37">
                  <c:v>177600</c:v>
                </c:pt>
                <c:pt idx="38">
                  <c:v>182400</c:v>
                </c:pt>
                <c:pt idx="39">
                  <c:v>187200</c:v>
                </c:pt>
                <c:pt idx="40">
                  <c:v>192000</c:v>
                </c:pt>
                <c:pt idx="41">
                  <c:v>196800</c:v>
                </c:pt>
                <c:pt idx="42">
                  <c:v>201600</c:v>
                </c:pt>
                <c:pt idx="43">
                  <c:v>206400</c:v>
                </c:pt>
                <c:pt idx="44">
                  <c:v>211200</c:v>
                </c:pt>
                <c:pt idx="45">
                  <c:v>216000</c:v>
                </c:pt>
                <c:pt idx="46">
                  <c:v>220800</c:v>
                </c:pt>
                <c:pt idx="47">
                  <c:v>225600</c:v>
                </c:pt>
                <c:pt idx="48">
                  <c:v>230400</c:v>
                </c:pt>
                <c:pt idx="49">
                  <c:v>235200</c:v>
                </c:pt>
                <c:pt idx="50">
                  <c:v>240000</c:v>
                </c:pt>
              </c:numCache>
            </c:numRef>
          </c:xVal>
          <c:yVal>
            <c:numRef>
              <c:f>OffenceDmg!$J$11:$J$61</c:f>
              <c:numCache>
                <c:formatCode>0.0\ %</c:formatCode>
                <c:ptCount val="51"/>
                <c:pt idx="0">
                  <c:v>0</c:v>
                </c:pt>
                <c:pt idx="1">
                  <c:v>9.5543778457863701E-2</c:v>
                </c:pt>
                <c:pt idx="2">
                  <c:v>0.19063221386551493</c:v>
                </c:pt>
                <c:pt idx="3">
                  <c:v>0.28526855359928682</c:v>
                </c:pt>
                <c:pt idx="4">
                  <c:v>0.37945601422960057</c:v>
                </c:pt>
                <c:pt idx="5">
                  <c:v>0.47319778188539746</c:v>
                </c:pt>
                <c:pt idx="6">
                  <c:v>0.56649701261341012</c:v>
                </c:pt>
                <c:pt idx="7">
                  <c:v>0.65935683273235712</c:v>
                </c:pt>
                <c:pt idx="8">
                  <c:v>0.75178033918214526</c:v>
                </c:pt>
                <c:pt idx="9">
                  <c:v>0.84377059986816094</c:v>
                </c:pt>
                <c:pt idx="10">
                  <c:v>0.9353306540007309</c:v>
                </c:pt>
                <c:pt idx="11">
                  <c:v>1.0264635124298318</c:v>
                </c:pt>
                <c:pt idx="12">
                  <c:v>1.1171721579751255</c:v>
                </c:pt>
                <c:pt idx="13">
                  <c:v>1.207459545751397</c:v>
                </c:pt>
                <c:pt idx="14">
                  <c:v>1.2973286034894664</c:v>
                </c:pt>
                <c:pt idx="15">
                  <c:v>1.3867822318526544</c:v>
                </c:pt>
                <c:pt idx="16">
                  <c:v>1.4758233047488651</c:v>
                </c:pt>
                <c:pt idx="17">
                  <c:v>1.5644546696383637</c:v>
                </c:pt>
                <c:pt idx="18">
                  <c:v>1.6526791478373144</c:v>
                </c:pt>
                <c:pt idx="19">
                  <c:v>1.7404995348171473</c:v>
                </c:pt>
                <c:pt idx="20">
                  <c:v>1.8279186004998216</c:v>
                </c:pt>
                <c:pt idx="21">
                  <c:v>1.9149390895490492</c:v>
                </c:pt>
                <c:pt idx="22">
                  <c:v>2.0015637216575448</c:v>
                </c:pt>
                <c:pt idx="23">
                  <c:v>2.087795191830367</c:v>
                </c:pt>
                <c:pt idx="24">
                  <c:v>2.1736361706644023</c:v>
                </c:pt>
                <c:pt idx="25">
                  <c:v>2.2590893046240734</c:v>
                </c:pt>
                <c:pt idx="26">
                  <c:v>2.3441572163133055</c:v>
                </c:pt>
                <c:pt idx="27">
                  <c:v>2.4288425047438329</c:v>
                </c:pt>
                <c:pt idx="28">
                  <c:v>2.5131477455998881</c:v>
                </c:pt>
                <c:pt idx="29">
                  <c:v>2.5970754914993357</c:v>
                </c:pt>
                <c:pt idx="30">
                  <c:v>2.6806282722513091</c:v>
                </c:pt>
                <c:pt idx="31">
                  <c:v>2.7638085951103988</c:v>
                </c:pt>
                <c:pt idx="32">
                  <c:v>2.8466189450274517</c:v>
                </c:pt>
                <c:pt idx="33">
                  <c:v>2.9290617848970251</c:v>
                </c:pt>
                <c:pt idx="34">
                  <c:v>3.0111395558015634</c:v>
                </c:pt>
                <c:pt idx="35">
                  <c:v>3.0928546772523298</c:v>
                </c:pt>
                <c:pt idx="36">
                  <c:v>3.1742095474271546</c:v>
                </c:pt>
                <c:pt idx="37">
                  <c:v>3.2552065434050448</c:v>
                </c:pt>
                <c:pt idx="38">
                  <c:v>3.3358480213977093</c:v>
                </c:pt>
                <c:pt idx="39">
                  <c:v>3.416136316978033</c:v>
                </c:pt>
                <c:pt idx="40">
                  <c:v>3.4960737453055653</c:v>
                </c:pt>
                <c:pt idx="41">
                  <c:v>3.5756626013490496</c:v>
                </c:pt>
                <c:pt idx="42">
                  <c:v>3.654905160106058</c:v>
                </c:pt>
                <c:pt idx="43">
                  <c:v>3.7338036768197544</c:v>
                </c:pt>
                <c:pt idx="44">
                  <c:v>3.812360387192852</c:v>
                </c:pt>
                <c:pt idx="45">
                  <c:v>3.8905775075987843</c:v>
                </c:pt>
                <c:pt idx="46">
                  <c:v>3.968457235290153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36-4057-8288-FE4D7BA42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25792"/>
        <c:axId val="45428096"/>
      </c:scatterChart>
      <c:valAx>
        <c:axId val="454257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5428096"/>
        <c:crosses val="autoZero"/>
        <c:crossBetween val="midCat"/>
      </c:valAx>
      <c:valAx>
        <c:axId val="454280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5425792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Partial Block, Parry, Evade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'Part-BPE'!$K$10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4000</c:v>
                </c:pt>
                <c:pt idx="2">
                  <c:v>8000</c:v>
                </c:pt>
                <c:pt idx="3">
                  <c:v>12000</c:v>
                </c:pt>
                <c:pt idx="4">
                  <c:v>16000</c:v>
                </c:pt>
                <c:pt idx="5">
                  <c:v>20000</c:v>
                </c:pt>
                <c:pt idx="6">
                  <c:v>24000</c:v>
                </c:pt>
                <c:pt idx="7">
                  <c:v>28000</c:v>
                </c:pt>
                <c:pt idx="8">
                  <c:v>32000</c:v>
                </c:pt>
                <c:pt idx="9">
                  <c:v>36000</c:v>
                </c:pt>
                <c:pt idx="10">
                  <c:v>40000</c:v>
                </c:pt>
                <c:pt idx="11">
                  <c:v>44000</c:v>
                </c:pt>
                <c:pt idx="12">
                  <c:v>48000</c:v>
                </c:pt>
                <c:pt idx="13">
                  <c:v>52000</c:v>
                </c:pt>
                <c:pt idx="14">
                  <c:v>56000</c:v>
                </c:pt>
                <c:pt idx="15">
                  <c:v>60000</c:v>
                </c:pt>
                <c:pt idx="16">
                  <c:v>64000</c:v>
                </c:pt>
                <c:pt idx="17">
                  <c:v>68000</c:v>
                </c:pt>
                <c:pt idx="18">
                  <c:v>72000</c:v>
                </c:pt>
                <c:pt idx="19">
                  <c:v>76000</c:v>
                </c:pt>
                <c:pt idx="20">
                  <c:v>80000</c:v>
                </c:pt>
                <c:pt idx="21">
                  <c:v>84000</c:v>
                </c:pt>
                <c:pt idx="22">
                  <c:v>88000</c:v>
                </c:pt>
                <c:pt idx="23">
                  <c:v>92000</c:v>
                </c:pt>
                <c:pt idx="24">
                  <c:v>96000</c:v>
                </c:pt>
                <c:pt idx="25">
                  <c:v>100000</c:v>
                </c:pt>
                <c:pt idx="26">
                  <c:v>104000</c:v>
                </c:pt>
                <c:pt idx="27">
                  <c:v>108000</c:v>
                </c:pt>
                <c:pt idx="28">
                  <c:v>112000</c:v>
                </c:pt>
                <c:pt idx="29">
                  <c:v>116000</c:v>
                </c:pt>
                <c:pt idx="30">
                  <c:v>120000</c:v>
                </c:pt>
                <c:pt idx="31">
                  <c:v>124000</c:v>
                </c:pt>
                <c:pt idx="32">
                  <c:v>128000</c:v>
                </c:pt>
                <c:pt idx="33">
                  <c:v>132000</c:v>
                </c:pt>
                <c:pt idx="34">
                  <c:v>136000</c:v>
                </c:pt>
                <c:pt idx="35">
                  <c:v>140000</c:v>
                </c:pt>
                <c:pt idx="36">
                  <c:v>144000</c:v>
                </c:pt>
                <c:pt idx="37">
                  <c:v>148000</c:v>
                </c:pt>
                <c:pt idx="38">
                  <c:v>152000</c:v>
                </c:pt>
                <c:pt idx="39">
                  <c:v>156000</c:v>
                </c:pt>
                <c:pt idx="40">
                  <c:v>160000</c:v>
                </c:pt>
                <c:pt idx="41">
                  <c:v>164000</c:v>
                </c:pt>
                <c:pt idx="42">
                  <c:v>168000</c:v>
                </c:pt>
                <c:pt idx="43">
                  <c:v>172000</c:v>
                </c:pt>
                <c:pt idx="44">
                  <c:v>176000</c:v>
                </c:pt>
                <c:pt idx="45">
                  <c:v>180000</c:v>
                </c:pt>
                <c:pt idx="46">
                  <c:v>184000</c:v>
                </c:pt>
                <c:pt idx="47">
                  <c:v>188000</c:v>
                </c:pt>
                <c:pt idx="48">
                  <c:v>192000</c:v>
                </c:pt>
                <c:pt idx="49">
                  <c:v>196000</c:v>
                </c:pt>
                <c:pt idx="50">
                  <c:v>200000</c:v>
                </c:pt>
              </c:numCache>
            </c:numRef>
          </c:xVal>
          <c:yVal>
            <c:numRef>
              <c:f>'Part-BPE'!$K$11:$K$61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2.0982367758186373E-2</c:v>
                </c:pt>
                <c:pt idx="3">
                  <c:v>4.3477218225419612E-2</c:v>
                </c:pt>
                <c:pt idx="4">
                  <c:v>6.3913043478260795E-2</c:v>
                </c:pt>
                <c:pt idx="5">
                  <c:v>8.2560175054704504E-2</c:v>
                </c:pt>
                <c:pt idx="6">
                  <c:v>9.9643605870020871E-2</c:v>
                </c:pt>
                <c:pt idx="7">
                  <c:v>0.11535211267605622</c:v>
                </c:pt>
                <c:pt idx="8">
                  <c:v>0.12984526112185674</c:v>
                </c:pt>
                <c:pt idx="9">
                  <c:v>0.14325884543761627</c:v>
                </c:pt>
                <c:pt idx="10">
                  <c:v>0.15570915619389572</c:v>
                </c:pt>
                <c:pt idx="11">
                  <c:v>0.16729636048526847</c:v>
                </c:pt>
                <c:pt idx="12">
                  <c:v>0.17810720268006683</c:v>
                </c:pt>
                <c:pt idx="13">
                  <c:v>0.18821717990275511</c:v>
                </c:pt>
                <c:pt idx="14">
                  <c:v>0.19769230769230753</c:v>
                </c:pt>
                <c:pt idx="15">
                  <c:v>0.20659056316590549</c:v>
                </c:pt>
                <c:pt idx="16">
                  <c:v>0.21496307237813869</c:v>
                </c:pt>
                <c:pt idx="17">
                  <c:v>0.22285509325681474</c:v>
                </c:pt>
                <c:pt idx="18">
                  <c:v>0.23030683403068322</c:v>
                </c:pt>
                <c:pt idx="19">
                  <c:v>0.23735413839891437</c:v>
                </c:pt>
                <c:pt idx="20">
                  <c:v>0.24402906208718611</c:v>
                </c:pt>
                <c:pt idx="21">
                  <c:v>0.25036036036036019</c:v>
                </c:pt>
                <c:pt idx="22">
                  <c:v>0.25637390213299854</c:v>
                </c:pt>
                <c:pt idx="23">
                  <c:v>0.2620930232558138</c:v>
                </c:pt>
                <c:pt idx="24">
                  <c:v>0.26753882915173222</c:v>
                </c:pt>
                <c:pt idx="25">
                  <c:v>0.27273045507584581</c:v>
                </c:pt>
                <c:pt idx="26">
                  <c:v>0.27768529076396792</c:v>
                </c:pt>
                <c:pt idx="27">
                  <c:v>0.28241917502787051</c:v>
                </c:pt>
                <c:pt idx="28">
                  <c:v>0.28694656488549597</c:v>
                </c:pt>
                <c:pt idx="29">
                  <c:v>0.29128068303094973</c:v>
                </c:pt>
                <c:pt idx="30">
                  <c:v>0.29543364681295697</c:v>
                </c:pt>
                <c:pt idx="31">
                  <c:v>0.29941658137154542</c:v>
                </c:pt>
                <c:pt idx="32">
                  <c:v>0.30323971915747228</c:v>
                </c:pt>
                <c:pt idx="33">
                  <c:v>0.30691248770894775</c:v>
                </c:pt>
                <c:pt idx="34">
                  <c:v>0.31044358727097382</c:v>
                </c:pt>
                <c:pt idx="35">
                  <c:v>0.31384105960264885</c:v>
                </c:pt>
                <c:pt idx="36">
                  <c:v>0.31711234911792002</c:v>
                </c:pt>
                <c:pt idx="37">
                  <c:v>0.32026435733819492</c:v>
                </c:pt>
                <c:pt idx="38">
                  <c:v>0.32330349149507592</c:v>
                </c:pt>
                <c:pt idx="39">
                  <c:v>0.32623570800351787</c:v>
                </c:pt>
                <c:pt idx="40">
                  <c:v>0.32906655142610186</c:v>
                </c:pt>
                <c:pt idx="41">
                  <c:v>0.33180118946474069</c:v>
                </c:pt>
                <c:pt idx="42">
                  <c:v>0.33444444444444432</c:v>
                </c:pt>
                <c:pt idx="43">
                  <c:v>0.33700082169268675</c:v>
                </c:pt>
                <c:pt idx="44">
                  <c:v>0.3394745351657234</c:v>
                </c:pt>
                <c:pt idx="45">
                  <c:v>0.34186953062848036</c:v>
                </c:pt>
                <c:pt idx="46">
                  <c:v>0.34418950665622539</c:v>
                </c:pt>
                <c:pt idx="47">
                  <c:v>0.34643793369313786</c:v>
                </c:pt>
                <c:pt idx="48">
                  <c:v>0.34861807137433548</c:v>
                </c:pt>
                <c:pt idx="49">
                  <c:v>0.35</c:v>
                </c:pt>
                <c:pt idx="50">
                  <c:v>0.35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83-49E6-979C-5C26B99A82C1}"/>
            </c:ext>
          </c:extLst>
        </c:ser>
        <c:ser>
          <c:idx val="1"/>
          <c:order val="1"/>
          <c:tx>
            <c:strRef>
              <c:f>'Part-BPE'!$J$10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4000</c:v>
                </c:pt>
                <c:pt idx="2">
                  <c:v>8000</c:v>
                </c:pt>
                <c:pt idx="3">
                  <c:v>12000</c:v>
                </c:pt>
                <c:pt idx="4">
                  <c:v>16000</c:v>
                </c:pt>
                <c:pt idx="5">
                  <c:v>20000</c:v>
                </c:pt>
                <c:pt idx="6">
                  <c:v>24000</c:v>
                </c:pt>
                <c:pt idx="7">
                  <c:v>28000</c:v>
                </c:pt>
                <c:pt idx="8">
                  <c:v>32000</c:v>
                </c:pt>
                <c:pt idx="9">
                  <c:v>36000</c:v>
                </c:pt>
                <c:pt idx="10">
                  <c:v>40000</c:v>
                </c:pt>
                <c:pt idx="11">
                  <c:v>44000</c:v>
                </c:pt>
                <c:pt idx="12">
                  <c:v>48000</c:v>
                </c:pt>
                <c:pt idx="13">
                  <c:v>52000</c:v>
                </c:pt>
                <c:pt idx="14">
                  <c:v>56000</c:v>
                </c:pt>
                <c:pt idx="15">
                  <c:v>60000</c:v>
                </c:pt>
                <c:pt idx="16">
                  <c:v>64000</c:v>
                </c:pt>
                <c:pt idx="17">
                  <c:v>68000</c:v>
                </c:pt>
                <c:pt idx="18">
                  <c:v>72000</c:v>
                </c:pt>
                <c:pt idx="19">
                  <c:v>76000</c:v>
                </c:pt>
                <c:pt idx="20">
                  <c:v>80000</c:v>
                </c:pt>
                <c:pt idx="21">
                  <c:v>84000</c:v>
                </c:pt>
                <c:pt idx="22">
                  <c:v>88000</c:v>
                </c:pt>
                <c:pt idx="23">
                  <c:v>92000</c:v>
                </c:pt>
                <c:pt idx="24">
                  <c:v>96000</c:v>
                </c:pt>
                <c:pt idx="25">
                  <c:v>100000</c:v>
                </c:pt>
                <c:pt idx="26">
                  <c:v>104000</c:v>
                </c:pt>
                <c:pt idx="27">
                  <c:v>108000</c:v>
                </c:pt>
                <c:pt idx="28">
                  <c:v>112000</c:v>
                </c:pt>
                <c:pt idx="29">
                  <c:v>116000</c:v>
                </c:pt>
                <c:pt idx="30">
                  <c:v>120000</c:v>
                </c:pt>
                <c:pt idx="31">
                  <c:v>124000</c:v>
                </c:pt>
                <c:pt idx="32">
                  <c:v>128000</c:v>
                </c:pt>
                <c:pt idx="33">
                  <c:v>132000</c:v>
                </c:pt>
                <c:pt idx="34">
                  <c:v>136000</c:v>
                </c:pt>
                <c:pt idx="35">
                  <c:v>140000</c:v>
                </c:pt>
                <c:pt idx="36">
                  <c:v>144000</c:v>
                </c:pt>
                <c:pt idx="37">
                  <c:v>148000</c:v>
                </c:pt>
                <c:pt idx="38">
                  <c:v>152000</c:v>
                </c:pt>
                <c:pt idx="39">
                  <c:v>156000</c:v>
                </c:pt>
                <c:pt idx="40">
                  <c:v>160000</c:v>
                </c:pt>
                <c:pt idx="41">
                  <c:v>164000</c:v>
                </c:pt>
                <c:pt idx="42">
                  <c:v>168000</c:v>
                </c:pt>
                <c:pt idx="43">
                  <c:v>172000</c:v>
                </c:pt>
                <c:pt idx="44">
                  <c:v>176000</c:v>
                </c:pt>
                <c:pt idx="45">
                  <c:v>180000</c:v>
                </c:pt>
                <c:pt idx="46">
                  <c:v>184000</c:v>
                </c:pt>
                <c:pt idx="47">
                  <c:v>188000</c:v>
                </c:pt>
                <c:pt idx="48">
                  <c:v>192000</c:v>
                </c:pt>
                <c:pt idx="49">
                  <c:v>196000</c:v>
                </c:pt>
                <c:pt idx="50">
                  <c:v>200000</c:v>
                </c:pt>
              </c:numCache>
            </c:numRef>
          </c:xVal>
          <c:yVal>
            <c:numRef>
              <c:f>'Part-BPE'!$J$11:$J$61</c:f>
              <c:numCache>
                <c:formatCode>0.0\ %</c:formatCode>
                <c:ptCount val="51"/>
                <c:pt idx="0">
                  <c:v>0</c:v>
                </c:pt>
                <c:pt idx="1">
                  <c:v>2.4499999999999973E-2</c:v>
                </c:pt>
                <c:pt idx="2">
                  <c:v>4.6666666666666613E-2</c:v>
                </c:pt>
                <c:pt idx="3">
                  <c:v>6.6818181818181735E-2</c:v>
                </c:pt>
                <c:pt idx="4">
                  <c:v>8.5217391304347731E-2</c:v>
                </c:pt>
                <c:pt idx="5">
                  <c:v>0.10208333333333322</c:v>
                </c:pt>
                <c:pt idx="6">
                  <c:v>0.11759999999999989</c:v>
                </c:pt>
                <c:pt idx="7">
                  <c:v>0.13192307692307678</c:v>
                </c:pt>
                <c:pt idx="8">
                  <c:v>0.14518518518518506</c:v>
                </c:pt>
                <c:pt idx="9">
                  <c:v>0.15749999999999986</c:v>
                </c:pt>
                <c:pt idx="10">
                  <c:v>0.16896551724137915</c:v>
                </c:pt>
                <c:pt idx="11">
                  <c:v>0.17966666666666653</c:v>
                </c:pt>
                <c:pt idx="12">
                  <c:v>0.18967741935483856</c:v>
                </c:pt>
                <c:pt idx="13">
                  <c:v>0.19906249999999984</c:v>
                </c:pt>
                <c:pt idx="14">
                  <c:v>0.20787878787878769</c:v>
                </c:pt>
                <c:pt idx="15">
                  <c:v>0.21617647058823514</c:v>
                </c:pt>
                <c:pt idx="16">
                  <c:v>0.22399999999999984</c:v>
                </c:pt>
                <c:pt idx="17">
                  <c:v>0.2313888888888887</c:v>
                </c:pt>
                <c:pt idx="18">
                  <c:v>0.23837837837837822</c:v>
                </c:pt>
                <c:pt idx="19">
                  <c:v>0.2449999999999998</c:v>
                </c:pt>
                <c:pt idx="20">
                  <c:v>0.25128205128205106</c:v>
                </c:pt>
                <c:pt idx="21">
                  <c:v>0.25724999999999981</c:v>
                </c:pt>
                <c:pt idx="22">
                  <c:v>0.26292682926829253</c:v>
                </c:pt>
                <c:pt idx="23">
                  <c:v>0.2683333333333332</c:v>
                </c:pt>
                <c:pt idx="24">
                  <c:v>0.27348837209302301</c:v>
                </c:pt>
                <c:pt idx="25">
                  <c:v>0.27840909090909077</c:v>
                </c:pt>
                <c:pt idx="26">
                  <c:v>0.28311111111111092</c:v>
                </c:pt>
                <c:pt idx="27">
                  <c:v>0.28760869565217373</c:v>
                </c:pt>
                <c:pt idx="28">
                  <c:v>0.29191489361702111</c:v>
                </c:pt>
                <c:pt idx="29">
                  <c:v>0.29604166666666648</c:v>
                </c:pt>
                <c:pt idx="30">
                  <c:v>0.29999999999999982</c:v>
                </c:pt>
                <c:pt idx="31">
                  <c:v>0.30379999999999985</c:v>
                </c:pt>
                <c:pt idx="32">
                  <c:v>0.30745098039215674</c:v>
                </c:pt>
                <c:pt idx="33">
                  <c:v>0.31096153846153829</c:v>
                </c:pt>
                <c:pt idx="34">
                  <c:v>0.31433962264150928</c:v>
                </c:pt>
                <c:pt idx="35">
                  <c:v>0.31759259259259248</c:v>
                </c:pt>
                <c:pt idx="36">
                  <c:v>0.32072727272727258</c:v>
                </c:pt>
                <c:pt idx="37">
                  <c:v>0.32374999999999987</c:v>
                </c:pt>
                <c:pt idx="38">
                  <c:v>0.32666666666666649</c:v>
                </c:pt>
                <c:pt idx="39">
                  <c:v>0.32948275862068954</c:v>
                </c:pt>
                <c:pt idx="40">
                  <c:v>0.33220338983050829</c:v>
                </c:pt>
                <c:pt idx="41">
                  <c:v>0.33483333333333321</c:v>
                </c:pt>
                <c:pt idx="42">
                  <c:v>0.33737704918032774</c:v>
                </c:pt>
                <c:pt idx="43">
                  <c:v>0.33983870967741925</c:v>
                </c:pt>
                <c:pt idx="44">
                  <c:v>0.34222222222222209</c:v>
                </c:pt>
                <c:pt idx="45">
                  <c:v>0.34453124999999984</c:v>
                </c:pt>
                <c:pt idx="46">
                  <c:v>0.34676923076923061</c:v>
                </c:pt>
                <c:pt idx="47">
                  <c:v>0.34893939393939377</c:v>
                </c:pt>
                <c:pt idx="48">
                  <c:v>0.35</c:v>
                </c:pt>
                <c:pt idx="49">
                  <c:v>0.35</c:v>
                </c:pt>
                <c:pt idx="50">
                  <c:v>0.35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83-49E6-979C-5C26B99A8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94400"/>
        <c:axId val="90696704"/>
      </c:scatterChart>
      <c:valAx>
        <c:axId val="9069440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0696704"/>
        <c:crosses val="autoZero"/>
        <c:crossBetween val="midCat"/>
      </c:valAx>
      <c:valAx>
        <c:axId val="906967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90694400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Partial Block, Parry, Evade Mitigation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'Part-BPE-Mit'!$K$10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'Part-BPE-Mit'!$I$11:$I$61</c:f>
              <c:numCache>
                <c:formatCode>#,##0</c:formatCode>
                <c:ptCount val="51"/>
                <c:pt idx="0">
                  <c:v>0</c:v>
                </c:pt>
                <c:pt idx="1">
                  <c:v>2600</c:v>
                </c:pt>
                <c:pt idx="2">
                  <c:v>5200</c:v>
                </c:pt>
                <c:pt idx="3">
                  <c:v>7800</c:v>
                </c:pt>
                <c:pt idx="4">
                  <c:v>10400</c:v>
                </c:pt>
                <c:pt idx="5">
                  <c:v>13000</c:v>
                </c:pt>
                <c:pt idx="6">
                  <c:v>15600</c:v>
                </c:pt>
                <c:pt idx="7">
                  <c:v>18200</c:v>
                </c:pt>
                <c:pt idx="8">
                  <c:v>20800</c:v>
                </c:pt>
                <c:pt idx="9">
                  <c:v>23400</c:v>
                </c:pt>
                <c:pt idx="10">
                  <c:v>26000</c:v>
                </c:pt>
                <c:pt idx="11">
                  <c:v>28600</c:v>
                </c:pt>
                <c:pt idx="12">
                  <c:v>31200</c:v>
                </c:pt>
                <c:pt idx="13">
                  <c:v>33800</c:v>
                </c:pt>
                <c:pt idx="14">
                  <c:v>36400</c:v>
                </c:pt>
                <c:pt idx="15">
                  <c:v>39000</c:v>
                </c:pt>
                <c:pt idx="16">
                  <c:v>41600</c:v>
                </c:pt>
                <c:pt idx="17">
                  <c:v>44200</c:v>
                </c:pt>
                <c:pt idx="18">
                  <c:v>46800</c:v>
                </c:pt>
                <c:pt idx="19">
                  <c:v>49400</c:v>
                </c:pt>
                <c:pt idx="20">
                  <c:v>52000</c:v>
                </c:pt>
                <c:pt idx="21">
                  <c:v>54600</c:v>
                </c:pt>
                <c:pt idx="22">
                  <c:v>57200</c:v>
                </c:pt>
                <c:pt idx="23">
                  <c:v>59800</c:v>
                </c:pt>
                <c:pt idx="24">
                  <c:v>62400</c:v>
                </c:pt>
                <c:pt idx="25">
                  <c:v>65000</c:v>
                </c:pt>
                <c:pt idx="26">
                  <c:v>67600</c:v>
                </c:pt>
                <c:pt idx="27">
                  <c:v>70200</c:v>
                </c:pt>
                <c:pt idx="28">
                  <c:v>72800</c:v>
                </c:pt>
                <c:pt idx="29">
                  <c:v>75400</c:v>
                </c:pt>
                <c:pt idx="30">
                  <c:v>78000</c:v>
                </c:pt>
                <c:pt idx="31">
                  <c:v>80600</c:v>
                </c:pt>
                <c:pt idx="32">
                  <c:v>83200</c:v>
                </c:pt>
                <c:pt idx="33">
                  <c:v>85800</c:v>
                </c:pt>
                <c:pt idx="34">
                  <c:v>88400</c:v>
                </c:pt>
                <c:pt idx="35">
                  <c:v>91000</c:v>
                </c:pt>
                <c:pt idx="36">
                  <c:v>93600</c:v>
                </c:pt>
                <c:pt idx="37">
                  <c:v>96200</c:v>
                </c:pt>
                <c:pt idx="38">
                  <c:v>98800</c:v>
                </c:pt>
                <c:pt idx="39">
                  <c:v>101400</c:v>
                </c:pt>
                <c:pt idx="40">
                  <c:v>104000</c:v>
                </c:pt>
                <c:pt idx="41">
                  <c:v>106600</c:v>
                </c:pt>
                <c:pt idx="42">
                  <c:v>109200</c:v>
                </c:pt>
                <c:pt idx="43">
                  <c:v>111800</c:v>
                </c:pt>
                <c:pt idx="44">
                  <c:v>114400</c:v>
                </c:pt>
                <c:pt idx="45">
                  <c:v>117000</c:v>
                </c:pt>
                <c:pt idx="46">
                  <c:v>119600</c:v>
                </c:pt>
                <c:pt idx="47">
                  <c:v>122200</c:v>
                </c:pt>
                <c:pt idx="48">
                  <c:v>124800</c:v>
                </c:pt>
                <c:pt idx="49">
                  <c:v>127400</c:v>
                </c:pt>
                <c:pt idx="50">
                  <c:v>130000</c:v>
                </c:pt>
              </c:numCache>
            </c:numRef>
          </c:xVal>
          <c:yVal>
            <c:numRef>
              <c:f>'Part-BPE-Mit'!$K$11:$K$61</c:f>
              <c:numCache>
                <c:formatCode>0.0\ %</c:formatCode>
                <c:ptCount val="51"/>
                <c:pt idx="0">
                  <c:v>0.1</c:v>
                </c:pt>
                <c:pt idx="1">
                  <c:v>0.1</c:v>
                </c:pt>
                <c:pt idx="2">
                  <c:v>0.11296610169491526</c:v>
                </c:pt>
                <c:pt idx="3">
                  <c:v>0.16229007633587786</c:v>
                </c:pt>
                <c:pt idx="4">
                  <c:v>0.20270833333333332</c:v>
                </c:pt>
                <c:pt idx="5">
                  <c:v>0.23643312101910829</c:v>
                </c:pt>
                <c:pt idx="6">
                  <c:v>0.26500000000000001</c:v>
                </c:pt>
                <c:pt idx="7">
                  <c:v>0.28950819672131145</c:v>
                </c:pt>
                <c:pt idx="8">
                  <c:v>0.31076530612244901</c:v>
                </c:pt>
                <c:pt idx="9">
                  <c:v>0.32937799043062199</c:v>
                </c:pt>
                <c:pt idx="10">
                  <c:v>0.34581081081081078</c:v>
                </c:pt>
                <c:pt idx="11">
                  <c:v>0.36042553191489368</c:v>
                </c:pt>
                <c:pt idx="12">
                  <c:v>0.37350806451612906</c:v>
                </c:pt>
                <c:pt idx="13">
                  <c:v>0.38528735632183908</c:v>
                </c:pt>
                <c:pt idx="14">
                  <c:v>0.39594890510948899</c:v>
                </c:pt>
                <c:pt idx="15">
                  <c:v>0.4056445993031359</c:v>
                </c:pt>
                <c:pt idx="16">
                  <c:v>0.41449999999999998</c:v>
                </c:pt>
                <c:pt idx="17">
                  <c:v>0.42261980830670931</c:v>
                </c:pt>
                <c:pt idx="18">
                  <c:v>0.43009202453987727</c:v>
                </c:pt>
                <c:pt idx="19">
                  <c:v>0.43699115044247783</c:v>
                </c:pt>
                <c:pt idx="20">
                  <c:v>0.4433806818181818</c:v>
                </c:pt>
                <c:pt idx="21">
                  <c:v>0.44931506849315073</c:v>
                </c:pt>
                <c:pt idx="22">
                  <c:v>0.45484126984126982</c:v>
                </c:pt>
                <c:pt idx="23">
                  <c:v>0.46000000000000008</c:v>
                </c:pt>
                <c:pt idx="24">
                  <c:v>0.46482673267326735</c:v>
                </c:pt>
                <c:pt idx="25">
                  <c:v>0.46935251798561151</c:v>
                </c:pt>
                <c:pt idx="26">
                  <c:v>0.47360465116279071</c:v>
                </c:pt>
                <c:pt idx="27">
                  <c:v>0.47760722347629792</c:v>
                </c:pt>
                <c:pt idx="28">
                  <c:v>0.48138157894736844</c:v>
                </c:pt>
                <c:pt idx="29">
                  <c:v>0.48494669509594879</c:v>
                </c:pt>
                <c:pt idx="30">
                  <c:v>0.48831950207468877</c:v>
                </c:pt>
                <c:pt idx="31">
                  <c:v>0.49151515151515146</c:v>
                </c:pt>
                <c:pt idx="32">
                  <c:v>0.49454724409448814</c:v>
                </c:pt>
                <c:pt idx="33">
                  <c:v>0.49742802303262956</c:v>
                </c:pt>
                <c:pt idx="34">
                  <c:v>0.50016853932584271</c:v>
                </c:pt>
                <c:pt idx="35">
                  <c:v>0.50277879341864717</c:v>
                </c:pt>
                <c:pt idx="36">
                  <c:v>0.50526785714285716</c:v>
                </c:pt>
                <c:pt idx="37">
                  <c:v>0.50764397905759162</c:v>
                </c:pt>
                <c:pt idx="38">
                  <c:v>0.50991467576791816</c:v>
                </c:pt>
                <c:pt idx="39">
                  <c:v>0.51208681135225376</c:v>
                </c:pt>
                <c:pt idx="40">
                  <c:v>0.51416666666666666</c:v>
                </c:pt>
                <c:pt idx="41">
                  <c:v>0.51616000000000006</c:v>
                </c:pt>
                <c:pt idx="42">
                  <c:v>0.51807210031347961</c:v>
                </c:pt>
                <c:pt idx="43">
                  <c:v>0.51990783410138253</c:v>
                </c:pt>
                <c:pt idx="44">
                  <c:v>0.52167168674698794</c:v>
                </c:pt>
                <c:pt idx="45">
                  <c:v>0.5233677991137371</c:v>
                </c:pt>
                <c:pt idx="46">
                  <c:v>0.52500000000000002</c:v>
                </c:pt>
                <c:pt idx="47">
                  <c:v>0.52657183499288762</c:v>
                </c:pt>
                <c:pt idx="48">
                  <c:v>0.52808659217877096</c:v>
                </c:pt>
                <c:pt idx="49">
                  <c:v>0.52954732510288072</c:v>
                </c:pt>
                <c:pt idx="50">
                  <c:v>0.5309568733153639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37-4861-8773-8E3E6AE4C90B}"/>
            </c:ext>
          </c:extLst>
        </c:ser>
        <c:ser>
          <c:idx val="1"/>
          <c:order val="1"/>
          <c:tx>
            <c:strRef>
              <c:f>'Part-BPE-Mit'!$J$10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'Part-BPE-Mit'!$I$11:$I$61</c:f>
              <c:numCache>
                <c:formatCode>#,##0</c:formatCode>
                <c:ptCount val="51"/>
                <c:pt idx="0">
                  <c:v>0</c:v>
                </c:pt>
                <c:pt idx="1">
                  <c:v>2600</c:v>
                </c:pt>
                <c:pt idx="2">
                  <c:v>5200</c:v>
                </c:pt>
                <c:pt idx="3">
                  <c:v>7800</c:v>
                </c:pt>
                <c:pt idx="4">
                  <c:v>10400</c:v>
                </c:pt>
                <c:pt idx="5">
                  <c:v>13000</c:v>
                </c:pt>
                <c:pt idx="6">
                  <c:v>15600</c:v>
                </c:pt>
                <c:pt idx="7">
                  <c:v>18200</c:v>
                </c:pt>
                <c:pt idx="8">
                  <c:v>20800</c:v>
                </c:pt>
                <c:pt idx="9">
                  <c:v>23400</c:v>
                </c:pt>
                <c:pt idx="10">
                  <c:v>26000</c:v>
                </c:pt>
                <c:pt idx="11">
                  <c:v>28600</c:v>
                </c:pt>
                <c:pt idx="12">
                  <c:v>31200</c:v>
                </c:pt>
                <c:pt idx="13">
                  <c:v>33800</c:v>
                </c:pt>
                <c:pt idx="14">
                  <c:v>36400</c:v>
                </c:pt>
                <c:pt idx="15">
                  <c:v>39000</c:v>
                </c:pt>
                <c:pt idx="16">
                  <c:v>41600</c:v>
                </c:pt>
                <c:pt idx="17">
                  <c:v>44200</c:v>
                </c:pt>
                <c:pt idx="18">
                  <c:v>46800</c:v>
                </c:pt>
                <c:pt idx="19">
                  <c:v>49400</c:v>
                </c:pt>
                <c:pt idx="20">
                  <c:v>52000</c:v>
                </c:pt>
                <c:pt idx="21">
                  <c:v>54600</c:v>
                </c:pt>
                <c:pt idx="22">
                  <c:v>57200</c:v>
                </c:pt>
                <c:pt idx="23">
                  <c:v>59800</c:v>
                </c:pt>
                <c:pt idx="24">
                  <c:v>62400</c:v>
                </c:pt>
                <c:pt idx="25">
                  <c:v>65000</c:v>
                </c:pt>
                <c:pt idx="26">
                  <c:v>67600</c:v>
                </c:pt>
                <c:pt idx="27">
                  <c:v>70200</c:v>
                </c:pt>
                <c:pt idx="28">
                  <c:v>72800</c:v>
                </c:pt>
                <c:pt idx="29">
                  <c:v>75400</c:v>
                </c:pt>
                <c:pt idx="30">
                  <c:v>78000</c:v>
                </c:pt>
                <c:pt idx="31">
                  <c:v>80600</c:v>
                </c:pt>
                <c:pt idx="32">
                  <c:v>83200</c:v>
                </c:pt>
                <c:pt idx="33">
                  <c:v>85800</c:v>
                </c:pt>
                <c:pt idx="34">
                  <c:v>88400</c:v>
                </c:pt>
                <c:pt idx="35">
                  <c:v>91000</c:v>
                </c:pt>
                <c:pt idx="36">
                  <c:v>93600</c:v>
                </c:pt>
                <c:pt idx="37">
                  <c:v>96200</c:v>
                </c:pt>
                <c:pt idx="38">
                  <c:v>98800</c:v>
                </c:pt>
                <c:pt idx="39">
                  <c:v>101400</c:v>
                </c:pt>
                <c:pt idx="40">
                  <c:v>104000</c:v>
                </c:pt>
                <c:pt idx="41">
                  <c:v>106600</c:v>
                </c:pt>
                <c:pt idx="42">
                  <c:v>109200</c:v>
                </c:pt>
                <c:pt idx="43">
                  <c:v>111800</c:v>
                </c:pt>
                <c:pt idx="44">
                  <c:v>114400</c:v>
                </c:pt>
                <c:pt idx="45">
                  <c:v>117000</c:v>
                </c:pt>
                <c:pt idx="46">
                  <c:v>119600</c:v>
                </c:pt>
                <c:pt idx="47">
                  <c:v>122200</c:v>
                </c:pt>
                <c:pt idx="48">
                  <c:v>124800</c:v>
                </c:pt>
                <c:pt idx="49">
                  <c:v>127400</c:v>
                </c:pt>
                <c:pt idx="50">
                  <c:v>130000</c:v>
                </c:pt>
              </c:numCache>
            </c:numRef>
          </c:xVal>
          <c:yVal>
            <c:numRef>
              <c:f>'Part-BPE-Mit'!$J$11:$J$61</c:f>
              <c:numCache>
                <c:formatCode>0.0\ %</c:formatCode>
                <c:ptCount val="51"/>
                <c:pt idx="0">
                  <c:v>0.1</c:v>
                </c:pt>
                <c:pt idx="1">
                  <c:v>0.151796875</c:v>
                </c:pt>
                <c:pt idx="2">
                  <c:v>0.19404255319148936</c:v>
                </c:pt>
                <c:pt idx="3">
                  <c:v>0.22915584415584417</c:v>
                </c:pt>
                <c:pt idx="4">
                  <c:v>0.25880239520958082</c:v>
                </c:pt>
                <c:pt idx="5">
                  <c:v>0.28416666666666668</c:v>
                </c:pt>
                <c:pt idx="6">
                  <c:v>0.30611398963730574</c:v>
                </c:pt>
                <c:pt idx="7">
                  <c:v>0.3252912621359223</c:v>
                </c:pt>
                <c:pt idx="8">
                  <c:v>0.34219178082191781</c:v>
                </c:pt>
                <c:pt idx="9">
                  <c:v>0.35719827586206898</c:v>
                </c:pt>
                <c:pt idx="10">
                  <c:v>0.37061224489795919</c:v>
                </c:pt>
                <c:pt idx="11">
                  <c:v>0.38267441860465112</c:v>
                </c:pt>
                <c:pt idx="12">
                  <c:v>0.39357933579335791</c:v>
                </c:pt>
                <c:pt idx="13">
                  <c:v>0.40348591549295776</c:v>
                </c:pt>
                <c:pt idx="14">
                  <c:v>0.41252525252525252</c:v>
                </c:pt>
                <c:pt idx="15">
                  <c:v>0.4208064516129032</c:v>
                </c:pt>
                <c:pt idx="16">
                  <c:v>0.42842105263157892</c:v>
                </c:pt>
                <c:pt idx="17">
                  <c:v>0.43544642857142857</c:v>
                </c:pt>
                <c:pt idx="18">
                  <c:v>0.44194842406876789</c:v>
                </c:pt>
                <c:pt idx="19">
                  <c:v>0.44798342541436464</c:v>
                </c:pt>
                <c:pt idx="20">
                  <c:v>0.4536</c:v>
                </c:pt>
                <c:pt idx="21">
                  <c:v>0.45884020618556698</c:v>
                </c:pt>
                <c:pt idx="22">
                  <c:v>0.46374064837905238</c:v>
                </c:pt>
                <c:pt idx="23">
                  <c:v>0.46833333333333338</c:v>
                </c:pt>
                <c:pt idx="24">
                  <c:v>0.47264637002341925</c:v>
                </c:pt>
                <c:pt idx="25">
                  <c:v>0.47670454545454544</c:v>
                </c:pt>
                <c:pt idx="26">
                  <c:v>0.48052980132450329</c:v>
                </c:pt>
                <c:pt idx="27">
                  <c:v>0.48414163090128759</c:v>
                </c:pt>
                <c:pt idx="28">
                  <c:v>0.4875574112734864</c:v>
                </c:pt>
                <c:pt idx="29">
                  <c:v>0.49079268292682932</c:v>
                </c:pt>
                <c:pt idx="30">
                  <c:v>0.49386138613861386</c:v>
                </c:pt>
                <c:pt idx="31">
                  <c:v>0.49677606177606182</c:v>
                </c:pt>
                <c:pt idx="32">
                  <c:v>0.4995480225988701</c:v>
                </c:pt>
                <c:pt idx="33">
                  <c:v>0.50218750000000001</c:v>
                </c:pt>
                <c:pt idx="34">
                  <c:v>0.50470377019748658</c:v>
                </c:pt>
                <c:pt idx="35">
                  <c:v>0.50710526315789473</c:v>
                </c:pt>
                <c:pt idx="36">
                  <c:v>0.50939965694682676</c:v>
                </c:pt>
                <c:pt idx="37">
                  <c:v>0.51159395973154365</c:v>
                </c:pt>
                <c:pt idx="38">
                  <c:v>0.51369458128078815</c:v>
                </c:pt>
                <c:pt idx="39">
                  <c:v>0.51570739549839228</c:v>
                </c:pt>
                <c:pt idx="40">
                  <c:v>0.51763779527559062</c:v>
                </c:pt>
                <c:pt idx="41">
                  <c:v>0.51949074074074075</c:v>
                </c:pt>
                <c:pt idx="42">
                  <c:v>0.52127080181543117</c:v>
                </c:pt>
                <c:pt idx="43">
                  <c:v>0.52298219584569738</c:v>
                </c:pt>
                <c:pt idx="44">
                  <c:v>0.52462882096069874</c:v>
                </c:pt>
                <c:pt idx="45">
                  <c:v>0.52621428571428575</c:v>
                </c:pt>
                <c:pt idx="46">
                  <c:v>0.52774193548387094</c:v>
                </c:pt>
                <c:pt idx="47">
                  <c:v>0.52921487603305783</c:v>
                </c:pt>
                <c:pt idx="48">
                  <c:v>0.53063599458728006</c:v>
                </c:pt>
                <c:pt idx="49">
                  <c:v>0.53200797872340422</c:v>
                </c:pt>
                <c:pt idx="50">
                  <c:v>0.53333333333333333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37-4861-8773-8E3E6AE4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10432"/>
        <c:axId val="110271104"/>
      </c:scatterChart>
      <c:valAx>
        <c:axId val="11021043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10271104"/>
        <c:crosses val="autoZero"/>
        <c:crossBetween val="midCat"/>
      </c:valAx>
      <c:valAx>
        <c:axId val="1102711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110210432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Full/Partial BPE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endParaRPr lang="de-DE" sz="1200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'Full-Part-BPE'!$I$3</c:f>
              <c:strCache>
                <c:ptCount val="1"/>
                <c:pt idx="0">
                  <c:v>Full BPE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'Full-Part-BPE'!$I$11:$I$61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'Full-Part-BPE'!$J$11:$J$61</c:f>
              <c:numCache>
                <c:formatCode>0.0\ %</c:formatCode>
                <c:ptCount val="51"/>
                <c:pt idx="0">
                  <c:v>0</c:v>
                </c:pt>
                <c:pt idx="1">
                  <c:v>2.0698324022346368E-2</c:v>
                </c:pt>
                <c:pt idx="2">
                  <c:v>3.7424242424242429E-2</c:v>
                </c:pt>
                <c:pt idx="3">
                  <c:v>5.1221198156682031E-2</c:v>
                </c:pt>
                <c:pt idx="4">
                  <c:v>6.2796610169491535E-2</c:v>
                </c:pt>
                <c:pt idx="5">
                  <c:v>7.2647058823529412E-2</c:v>
                </c:pt>
                <c:pt idx="6">
                  <c:v>8.1131386861313881E-2</c:v>
                </c:pt>
                <c:pt idx="7">
                  <c:v>8.8515358361774751E-2</c:v>
                </c:pt>
                <c:pt idx="8">
                  <c:v>9.5000000000000015E-2</c:v>
                </c:pt>
                <c:pt idx="9">
                  <c:v>0.10074018126888218</c:v>
                </c:pt>
                <c:pt idx="10">
                  <c:v>0.10585714285714286</c:v>
                </c:pt>
                <c:pt idx="11">
                  <c:v>0.11044715447154473</c:v>
                </c:pt>
                <c:pt idx="12">
                  <c:v>0.11458762886597938</c:v>
                </c:pt>
                <c:pt idx="13">
                  <c:v>0.11834152334152334</c:v>
                </c:pt>
                <c:pt idx="14">
                  <c:v>0.1217605633802817</c:v>
                </c:pt>
                <c:pt idx="15">
                  <c:v>0.1248876404494382</c:v>
                </c:pt>
                <c:pt idx="16">
                  <c:v>0.12775862068965518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  <c:pt idx="20">
                  <c:v>0.13</c:v>
                </c:pt>
                <c:pt idx="21">
                  <c:v>0.13</c:v>
                </c:pt>
                <c:pt idx="22">
                  <c:v>0.13</c:v>
                </c:pt>
                <c:pt idx="23">
                  <c:v>0.13</c:v>
                </c:pt>
                <c:pt idx="24">
                  <c:v>0.13</c:v>
                </c:pt>
                <c:pt idx="25">
                  <c:v>0.13</c:v>
                </c:pt>
                <c:pt idx="26">
                  <c:v>0.13</c:v>
                </c:pt>
                <c:pt idx="27">
                  <c:v>0.13</c:v>
                </c:pt>
                <c:pt idx="28">
                  <c:v>0.13</c:v>
                </c:pt>
                <c:pt idx="29">
                  <c:v>0.13</c:v>
                </c:pt>
                <c:pt idx="30">
                  <c:v>0.13</c:v>
                </c:pt>
                <c:pt idx="31">
                  <c:v>0.13</c:v>
                </c:pt>
                <c:pt idx="32">
                  <c:v>0.13</c:v>
                </c:pt>
                <c:pt idx="33">
                  <c:v>0.13</c:v>
                </c:pt>
                <c:pt idx="34">
                  <c:v>0.13</c:v>
                </c:pt>
                <c:pt idx="35">
                  <c:v>0.13</c:v>
                </c:pt>
                <c:pt idx="36">
                  <c:v>0.13</c:v>
                </c:pt>
                <c:pt idx="37">
                  <c:v>0.13</c:v>
                </c:pt>
                <c:pt idx="38">
                  <c:v>0.13</c:v>
                </c:pt>
                <c:pt idx="39">
                  <c:v>0.13</c:v>
                </c:pt>
                <c:pt idx="40">
                  <c:v>0.13</c:v>
                </c:pt>
                <c:pt idx="41">
                  <c:v>0.13</c:v>
                </c:pt>
                <c:pt idx="42">
                  <c:v>0.13</c:v>
                </c:pt>
                <c:pt idx="43">
                  <c:v>0.13</c:v>
                </c:pt>
                <c:pt idx="44">
                  <c:v>0.13</c:v>
                </c:pt>
                <c:pt idx="45">
                  <c:v>0.13</c:v>
                </c:pt>
                <c:pt idx="46">
                  <c:v>0.13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2E-4A28-9E98-5CB2ADA6DB05}"/>
            </c:ext>
          </c:extLst>
        </c:ser>
        <c:ser>
          <c:idx val="1"/>
          <c:order val="1"/>
          <c:tx>
            <c:strRef>
              <c:f>'Full-Part-BPE'!$M$3</c:f>
              <c:strCache>
                <c:ptCount val="1"/>
                <c:pt idx="0">
                  <c:v>Partial BPE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triang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'Full-Part-BPE'!$M$11:$M$61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'Full-Part-BPE'!$N$11:$N$61</c:f>
              <c:numCache>
                <c:formatCode>0.0\ %</c:formatCode>
                <c:ptCount val="51"/>
                <c:pt idx="0">
                  <c:v>0</c:v>
                </c:pt>
                <c:pt idx="1">
                  <c:v>2.3333333333333303E-2</c:v>
                </c:pt>
                <c:pt idx="2">
                  <c:v>4.4545454545454492E-2</c:v>
                </c:pt>
                <c:pt idx="3">
                  <c:v>6.3913043478260795E-2</c:v>
                </c:pt>
                <c:pt idx="4">
                  <c:v>8.1666666666666582E-2</c:v>
                </c:pt>
                <c:pt idx="5">
                  <c:v>9.7999999999999907E-2</c:v>
                </c:pt>
                <c:pt idx="6">
                  <c:v>0.11307692307692298</c:v>
                </c:pt>
                <c:pt idx="7">
                  <c:v>0.12703703703703692</c:v>
                </c:pt>
                <c:pt idx="8">
                  <c:v>0.13999999999999987</c:v>
                </c:pt>
                <c:pt idx="9">
                  <c:v>0.15206896551724125</c:v>
                </c:pt>
                <c:pt idx="10">
                  <c:v>0.16333333333333319</c:v>
                </c:pt>
                <c:pt idx="11">
                  <c:v>0.17387096774193533</c:v>
                </c:pt>
                <c:pt idx="12">
                  <c:v>0.18374999999999983</c:v>
                </c:pt>
                <c:pt idx="13">
                  <c:v>0.19303030303030291</c:v>
                </c:pt>
                <c:pt idx="14">
                  <c:v>0.20176470588235279</c:v>
                </c:pt>
                <c:pt idx="15">
                  <c:v>0.20999999999999983</c:v>
                </c:pt>
                <c:pt idx="16">
                  <c:v>0.21777777777777763</c:v>
                </c:pt>
                <c:pt idx="17">
                  <c:v>0.22513513513513495</c:v>
                </c:pt>
                <c:pt idx="18">
                  <c:v>0.23210526315789459</c:v>
                </c:pt>
                <c:pt idx="19">
                  <c:v>0.23871794871794852</c:v>
                </c:pt>
                <c:pt idx="20">
                  <c:v>0.2449999999999998</c:v>
                </c:pt>
                <c:pt idx="21">
                  <c:v>0.2509756097560974</c:v>
                </c:pt>
                <c:pt idx="22">
                  <c:v>0.25666666666666654</c:v>
                </c:pt>
                <c:pt idx="23">
                  <c:v>0.2620930232558138</c:v>
                </c:pt>
                <c:pt idx="24">
                  <c:v>0.26727272727272711</c:v>
                </c:pt>
                <c:pt idx="25">
                  <c:v>0.27222222222222203</c:v>
                </c:pt>
                <c:pt idx="26">
                  <c:v>0.27695652173913027</c:v>
                </c:pt>
                <c:pt idx="27">
                  <c:v>0.28148936170212752</c:v>
                </c:pt>
                <c:pt idx="28">
                  <c:v>0.28583333333333316</c:v>
                </c:pt>
                <c:pt idx="29">
                  <c:v>0.28999999999999987</c:v>
                </c:pt>
                <c:pt idx="30">
                  <c:v>0.29399999999999987</c:v>
                </c:pt>
                <c:pt idx="31">
                  <c:v>0.2978431372549018</c:v>
                </c:pt>
                <c:pt idx="32">
                  <c:v>0.30153846153846137</c:v>
                </c:pt>
                <c:pt idx="33">
                  <c:v>0.30509433962264132</c:v>
                </c:pt>
                <c:pt idx="34">
                  <c:v>0.30851851851851836</c:v>
                </c:pt>
                <c:pt idx="35">
                  <c:v>0.31181818181818161</c:v>
                </c:pt>
                <c:pt idx="36">
                  <c:v>0.31499999999999984</c:v>
                </c:pt>
                <c:pt idx="37">
                  <c:v>0.31807017543859634</c:v>
                </c:pt>
                <c:pt idx="38">
                  <c:v>0.32103448275862051</c:v>
                </c:pt>
                <c:pt idx="39">
                  <c:v>0.3238983050847456</c:v>
                </c:pt>
                <c:pt idx="40">
                  <c:v>0.32666666666666649</c:v>
                </c:pt>
                <c:pt idx="41">
                  <c:v>0.32934426229508179</c:v>
                </c:pt>
                <c:pt idx="42">
                  <c:v>0.33193548387096761</c:v>
                </c:pt>
                <c:pt idx="43">
                  <c:v>0.33444444444444432</c:v>
                </c:pt>
                <c:pt idx="44">
                  <c:v>0.33687499999999987</c:v>
                </c:pt>
                <c:pt idx="45">
                  <c:v>0.33923076923076911</c:v>
                </c:pt>
                <c:pt idx="46">
                  <c:v>0.34151515151515138</c:v>
                </c:pt>
                <c:pt idx="47">
                  <c:v>0.3437313432835819</c:v>
                </c:pt>
                <c:pt idx="48">
                  <c:v>0.34588235294117636</c:v>
                </c:pt>
                <c:pt idx="49">
                  <c:v>0.34797101449275347</c:v>
                </c:pt>
                <c:pt idx="50">
                  <c:v>0.34999999999999987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2E-4A28-9E98-5CB2ADA6DB05}"/>
            </c:ext>
          </c:extLst>
        </c:ser>
        <c:ser>
          <c:idx val="2"/>
          <c:order val="2"/>
          <c:tx>
            <c:strRef>
              <c:f>'Full-Part-BPE'!$Q$8</c:f>
              <c:strCache>
                <c:ptCount val="1"/>
                <c:pt idx="0">
                  <c:v>Full or Partial Chance BPE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'Full-Part-BPE'!$Q$11:$Q$61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'Full-Part-BPE'!$R$11:$R$61</c:f>
              <c:numCache>
                <c:formatCode>0.0\ %</c:formatCode>
                <c:ptCount val="51"/>
                <c:pt idx="0">
                  <c:v>0</c:v>
                </c:pt>
                <c:pt idx="1">
                  <c:v>4.3548696461824909E-2</c:v>
                </c:pt>
                <c:pt idx="2">
                  <c:v>8.0302617079889727E-2</c:v>
                </c:pt>
                <c:pt idx="3">
                  <c:v>0.11186053897014614</c:v>
                </c:pt>
                <c:pt idx="4">
                  <c:v>0.13933488700564967</c:v>
                </c:pt>
                <c:pt idx="5">
                  <c:v>0.16352764705882339</c:v>
                </c:pt>
                <c:pt idx="6">
                  <c:v>0.18503422234699607</c:v>
                </c:pt>
                <c:pt idx="7">
                  <c:v>0.20430766654026034</c:v>
                </c:pt>
                <c:pt idx="8">
                  <c:v>0.2216999999999999</c:v>
                </c:pt>
                <c:pt idx="9">
                  <c:v>0.23748969163454514</c:v>
                </c:pt>
                <c:pt idx="10">
                  <c:v>0.25190047619047606</c:v>
                </c:pt>
                <c:pt idx="11">
                  <c:v>0.26511456858116955</c:v>
                </c:pt>
                <c:pt idx="12">
                  <c:v>0.27728215206185558</c:v>
                </c:pt>
                <c:pt idx="13">
                  <c:v>0.28852832626014435</c:v>
                </c:pt>
                <c:pt idx="14">
                  <c:v>0.29895828500414245</c:v>
                </c:pt>
                <c:pt idx="15">
                  <c:v>0.30866123595505612</c:v>
                </c:pt>
                <c:pt idx="16">
                  <c:v>0.31771340996168573</c:v>
                </c:pt>
                <c:pt idx="17">
                  <c:v>0.32586756756756741</c:v>
                </c:pt>
                <c:pt idx="18">
                  <c:v>0.33193157894736824</c:v>
                </c:pt>
                <c:pt idx="19">
                  <c:v>0.33768461538461514</c:v>
                </c:pt>
                <c:pt idx="20">
                  <c:v>0.34314999999999984</c:v>
                </c:pt>
                <c:pt idx="21">
                  <c:v>0.34834878048780471</c:v>
                </c:pt>
                <c:pt idx="22">
                  <c:v>0.35329999999999995</c:v>
                </c:pt>
                <c:pt idx="23">
                  <c:v>0.3580209302325581</c:v>
                </c:pt>
                <c:pt idx="24">
                  <c:v>0.36252727272727259</c:v>
                </c:pt>
                <c:pt idx="25">
                  <c:v>0.36683333333333312</c:v>
                </c:pt>
                <c:pt idx="26">
                  <c:v>0.37095217391304336</c:v>
                </c:pt>
                <c:pt idx="27">
                  <c:v>0.37489574468085085</c:v>
                </c:pt>
                <c:pt idx="28">
                  <c:v>0.37867499999999987</c:v>
                </c:pt>
                <c:pt idx="29">
                  <c:v>0.38229999999999986</c:v>
                </c:pt>
                <c:pt idx="30">
                  <c:v>0.38577999999999979</c:v>
                </c:pt>
                <c:pt idx="31">
                  <c:v>0.38912352941176453</c:v>
                </c:pt>
                <c:pt idx="32">
                  <c:v>0.3923384615384613</c:v>
                </c:pt>
                <c:pt idx="33">
                  <c:v>0.3954320754716979</c:v>
                </c:pt>
                <c:pt idx="34">
                  <c:v>0.39841111111111105</c:v>
                </c:pt>
                <c:pt idx="35">
                  <c:v>0.40128181818181796</c:v>
                </c:pt>
                <c:pt idx="36">
                  <c:v>0.40404999999999991</c:v>
                </c:pt>
                <c:pt idx="37">
                  <c:v>0.40672105263157887</c:v>
                </c:pt>
                <c:pt idx="38">
                  <c:v>0.40929999999999978</c:v>
                </c:pt>
                <c:pt idx="39">
                  <c:v>0.41179152542372865</c:v>
                </c:pt>
                <c:pt idx="40">
                  <c:v>0.41419999999999979</c:v>
                </c:pt>
                <c:pt idx="41">
                  <c:v>0.41652950819672108</c:v>
                </c:pt>
                <c:pt idx="42">
                  <c:v>0.41878387096774183</c:v>
                </c:pt>
                <c:pt idx="43">
                  <c:v>0.4209666666666666</c:v>
                </c:pt>
                <c:pt idx="44">
                  <c:v>0.42308124999999985</c:v>
                </c:pt>
                <c:pt idx="45">
                  <c:v>0.42513076923076909</c:v>
                </c:pt>
                <c:pt idx="46">
                  <c:v>0.42711818181818162</c:v>
                </c:pt>
                <c:pt idx="47">
                  <c:v>0.42904626865671625</c:v>
                </c:pt>
                <c:pt idx="48">
                  <c:v>0.43091764705882341</c:v>
                </c:pt>
                <c:pt idx="49">
                  <c:v>0.43273478260869558</c:v>
                </c:pt>
                <c:pt idx="50">
                  <c:v>0.43449999999999989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2E-4A28-9E98-5CB2ADA6D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79744"/>
        <c:axId val="56482048"/>
      </c:scatterChart>
      <c:valAx>
        <c:axId val="5647974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482048"/>
        <c:crosses val="autoZero"/>
        <c:crossBetween val="midCat"/>
      </c:valAx>
      <c:valAx>
        <c:axId val="56482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564797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Full/Partial BPE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'Full-Part-BPE'!$I$3</c:f>
              <c:strCache>
                <c:ptCount val="1"/>
                <c:pt idx="0">
                  <c:v>Full BPE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'Full-Part-BPE'!$I$11:$I$61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1.6714285714285716E-2</c:v>
                </c:pt>
                <c:pt idx="3">
                  <c:v>3.4175257731958765E-2</c:v>
                </c:pt>
                <c:pt idx="4">
                  <c:v>4.8521126760563381E-2</c:v>
                </c:pt>
                <c:pt idx="5">
                  <c:v>6.0517241379310346E-2</c:v>
                </c:pt>
                <c:pt idx="6">
                  <c:v>7.0697211155378484E-2</c:v>
                </c:pt>
                <c:pt idx="7">
                  <c:v>7.9444444444444443E-2</c:v>
                </c:pt>
                <c:pt idx="8">
                  <c:v>8.7041522491349485E-2</c:v>
                </c:pt>
                <c:pt idx="9">
                  <c:v>9.3701298701298702E-2</c:v>
                </c:pt>
                <c:pt idx="10">
                  <c:v>9.9587155963302754E-2</c:v>
                </c:pt>
                <c:pt idx="11">
                  <c:v>0.10482658959537572</c:v>
                </c:pt>
                <c:pt idx="12">
                  <c:v>0.10952054794520549</c:v>
                </c:pt>
                <c:pt idx="13">
                  <c:v>0.11374999999999999</c:v>
                </c:pt>
                <c:pt idx="14">
                  <c:v>0.11758064516129031</c:v>
                </c:pt>
                <c:pt idx="15">
                  <c:v>0.12106635071090047</c:v>
                </c:pt>
                <c:pt idx="16">
                  <c:v>0.12425170068027212</c:v>
                </c:pt>
                <c:pt idx="17">
                  <c:v>0.12717391304347828</c:v>
                </c:pt>
                <c:pt idx="18">
                  <c:v>0.1298643006263048</c:v>
                </c:pt>
                <c:pt idx="19">
                  <c:v>0.13</c:v>
                </c:pt>
                <c:pt idx="20">
                  <c:v>0.13</c:v>
                </c:pt>
                <c:pt idx="21">
                  <c:v>0.13</c:v>
                </c:pt>
                <c:pt idx="22">
                  <c:v>0.13</c:v>
                </c:pt>
                <c:pt idx="23">
                  <c:v>0.13</c:v>
                </c:pt>
                <c:pt idx="24">
                  <c:v>0.13</c:v>
                </c:pt>
                <c:pt idx="25">
                  <c:v>0.13</c:v>
                </c:pt>
                <c:pt idx="26">
                  <c:v>0.13</c:v>
                </c:pt>
                <c:pt idx="27">
                  <c:v>0.13</c:v>
                </c:pt>
                <c:pt idx="28">
                  <c:v>0.13</c:v>
                </c:pt>
                <c:pt idx="29">
                  <c:v>0.13</c:v>
                </c:pt>
                <c:pt idx="30">
                  <c:v>0.13</c:v>
                </c:pt>
                <c:pt idx="31">
                  <c:v>0.13</c:v>
                </c:pt>
                <c:pt idx="32">
                  <c:v>0.13</c:v>
                </c:pt>
                <c:pt idx="33">
                  <c:v>0.13</c:v>
                </c:pt>
                <c:pt idx="34">
                  <c:v>0.13</c:v>
                </c:pt>
                <c:pt idx="35">
                  <c:v>0.13</c:v>
                </c:pt>
                <c:pt idx="36">
                  <c:v>0.13</c:v>
                </c:pt>
                <c:pt idx="37">
                  <c:v>0.13</c:v>
                </c:pt>
                <c:pt idx="38">
                  <c:v>0.13</c:v>
                </c:pt>
                <c:pt idx="39">
                  <c:v>0.13</c:v>
                </c:pt>
                <c:pt idx="40">
                  <c:v>0.13</c:v>
                </c:pt>
                <c:pt idx="41">
                  <c:v>0.13</c:v>
                </c:pt>
                <c:pt idx="42">
                  <c:v>0.13</c:v>
                </c:pt>
                <c:pt idx="43">
                  <c:v>0.13</c:v>
                </c:pt>
                <c:pt idx="44">
                  <c:v>0.13</c:v>
                </c:pt>
                <c:pt idx="45">
                  <c:v>0.13</c:v>
                </c:pt>
                <c:pt idx="46">
                  <c:v>0.13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01-4C2D-BE5D-F428FB4435EB}"/>
            </c:ext>
          </c:extLst>
        </c:ser>
        <c:ser>
          <c:idx val="1"/>
          <c:order val="1"/>
          <c:tx>
            <c:strRef>
              <c:f>'Full-Part-BPE'!$M$3</c:f>
              <c:strCache>
                <c:ptCount val="1"/>
                <c:pt idx="0">
                  <c:v>Partial BPE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triang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'Full-Part-BPE'!$M$11:$M$61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'Full-Part-BPE'!$O$11:$O$61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1.8607594936708837E-2</c:v>
                </c:pt>
                <c:pt idx="3">
                  <c:v>4.0241545893719755E-2</c:v>
                </c:pt>
                <c:pt idx="4">
                  <c:v>5.9976905311778225E-2</c:v>
                </c:pt>
                <c:pt idx="5">
                  <c:v>7.805309734513266E-2</c:v>
                </c:pt>
                <c:pt idx="6">
                  <c:v>9.4670912951167627E-2</c:v>
                </c:pt>
                <c:pt idx="7">
                  <c:v>0.10999999999999989</c:v>
                </c:pt>
                <c:pt idx="8">
                  <c:v>0.12418467583497039</c:v>
                </c:pt>
                <c:pt idx="9">
                  <c:v>0.13734848484848472</c:v>
                </c:pt>
                <c:pt idx="10">
                  <c:v>0.149597806215722</c:v>
                </c:pt>
                <c:pt idx="11">
                  <c:v>0.16102473498233202</c:v>
                </c:pt>
                <c:pt idx="12">
                  <c:v>0.17170940170940155</c:v>
                </c:pt>
                <c:pt idx="13">
                  <c:v>0.18172185430463558</c:v>
                </c:pt>
                <c:pt idx="14">
                  <c:v>0.19112359550561783</c:v>
                </c:pt>
                <c:pt idx="15">
                  <c:v>0.19996884735202478</c:v>
                </c:pt>
                <c:pt idx="16">
                  <c:v>0.20830559757942496</c:v>
                </c:pt>
                <c:pt idx="17">
                  <c:v>0.21617647058823514</c:v>
                </c:pt>
                <c:pt idx="18">
                  <c:v>0.22361945636623728</c:v>
                </c:pt>
                <c:pt idx="19">
                  <c:v>0.23066852367688004</c:v>
                </c:pt>
                <c:pt idx="20">
                  <c:v>0.23735413839891437</c:v>
                </c:pt>
                <c:pt idx="21">
                  <c:v>0.24370370370370353</c:v>
                </c:pt>
                <c:pt idx="22">
                  <c:v>0.24974193548387078</c:v>
                </c:pt>
                <c:pt idx="23">
                  <c:v>0.25549118387909309</c:v>
                </c:pt>
                <c:pt idx="24">
                  <c:v>0.26097170971709704</c:v>
                </c:pt>
                <c:pt idx="25">
                  <c:v>0.26620192307692286</c:v>
                </c:pt>
                <c:pt idx="26">
                  <c:v>0.27119858989424189</c:v>
                </c:pt>
                <c:pt idx="27">
                  <c:v>0.27597701149425274</c:v>
                </c:pt>
                <c:pt idx="28">
                  <c:v>0.28055118110236205</c:v>
                </c:pt>
                <c:pt idx="29">
                  <c:v>0.28493392070484563</c:v>
                </c:pt>
                <c:pt idx="30">
                  <c:v>0.28913700107874851</c:v>
                </c:pt>
                <c:pt idx="31">
                  <c:v>0.29317124735729366</c:v>
                </c:pt>
                <c:pt idx="32">
                  <c:v>0.29704663212435217</c:v>
                </c:pt>
                <c:pt idx="33">
                  <c:v>0.30077235772357713</c:v>
                </c:pt>
                <c:pt idx="34">
                  <c:v>0.30435692921236274</c:v>
                </c:pt>
                <c:pt idx="35">
                  <c:v>0.30780821917808204</c:v>
                </c:pt>
                <c:pt idx="36">
                  <c:v>0.31113352545629192</c:v>
                </c:pt>
                <c:pt idx="37">
                  <c:v>0.31433962264150928</c:v>
                </c:pt>
                <c:pt idx="38">
                  <c:v>0.31743280815569958</c:v>
                </c:pt>
                <c:pt idx="39">
                  <c:v>0.32041894353369749</c:v>
                </c:pt>
                <c:pt idx="40">
                  <c:v>0.32330349149507592</c:v>
                </c:pt>
                <c:pt idx="41">
                  <c:v>0.3260915492957745</c:v>
                </c:pt>
                <c:pt idx="42">
                  <c:v>0.32878787878787863</c:v>
                </c:pt>
                <c:pt idx="43">
                  <c:v>0.33139693356047689</c:v>
                </c:pt>
                <c:pt idx="44">
                  <c:v>0.33392288348700738</c:v>
                </c:pt>
                <c:pt idx="45">
                  <c:v>0.33636963696369626</c:v>
                </c:pt>
                <c:pt idx="46">
                  <c:v>0.33874086108854573</c:v>
                </c:pt>
                <c:pt idx="47">
                  <c:v>0.34103999999999984</c:v>
                </c:pt>
                <c:pt idx="48">
                  <c:v>0.34327029156816374</c:v>
                </c:pt>
                <c:pt idx="49">
                  <c:v>0.34543478260869548</c:v>
                </c:pt>
                <c:pt idx="50">
                  <c:v>0.34753634276970147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01-4C2D-BE5D-F428FB4435EB}"/>
            </c:ext>
          </c:extLst>
        </c:ser>
        <c:ser>
          <c:idx val="2"/>
          <c:order val="2"/>
          <c:tx>
            <c:strRef>
              <c:f>'Full-Part-BPE'!$Q$8</c:f>
              <c:strCache>
                <c:ptCount val="1"/>
                <c:pt idx="0">
                  <c:v>Full or Partial Chance BPE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'Full-Part-BPE'!$Q$11:$Q$61</c:f>
              <c:numCache>
                <c:formatCode>#,##0</c:formatCode>
                <c:ptCount val="51"/>
                <c:pt idx="0">
                  <c:v>0</c:v>
                </c:pt>
                <c:pt idx="1">
                  <c:v>3800</c:v>
                </c:pt>
                <c:pt idx="2">
                  <c:v>7600</c:v>
                </c:pt>
                <c:pt idx="3">
                  <c:v>11400</c:v>
                </c:pt>
                <c:pt idx="4">
                  <c:v>15200</c:v>
                </c:pt>
                <c:pt idx="5">
                  <c:v>19000</c:v>
                </c:pt>
                <c:pt idx="6">
                  <c:v>22800</c:v>
                </c:pt>
                <c:pt idx="7">
                  <c:v>26600</c:v>
                </c:pt>
                <c:pt idx="8">
                  <c:v>30400</c:v>
                </c:pt>
                <c:pt idx="9">
                  <c:v>34200</c:v>
                </c:pt>
                <c:pt idx="10">
                  <c:v>38000</c:v>
                </c:pt>
                <c:pt idx="11">
                  <c:v>41800</c:v>
                </c:pt>
                <c:pt idx="12">
                  <c:v>45600</c:v>
                </c:pt>
                <c:pt idx="13">
                  <c:v>49400</c:v>
                </c:pt>
                <c:pt idx="14">
                  <c:v>53200</c:v>
                </c:pt>
                <c:pt idx="15">
                  <c:v>57000</c:v>
                </c:pt>
                <c:pt idx="16">
                  <c:v>60800</c:v>
                </c:pt>
                <c:pt idx="17">
                  <c:v>64600</c:v>
                </c:pt>
                <c:pt idx="18">
                  <c:v>68400</c:v>
                </c:pt>
                <c:pt idx="19">
                  <c:v>72200</c:v>
                </c:pt>
                <c:pt idx="20">
                  <c:v>76000</c:v>
                </c:pt>
                <c:pt idx="21">
                  <c:v>79800</c:v>
                </c:pt>
                <c:pt idx="22">
                  <c:v>83600</c:v>
                </c:pt>
                <c:pt idx="23">
                  <c:v>87400</c:v>
                </c:pt>
                <c:pt idx="24">
                  <c:v>91200</c:v>
                </c:pt>
                <c:pt idx="25">
                  <c:v>95000</c:v>
                </c:pt>
                <c:pt idx="26">
                  <c:v>98800</c:v>
                </c:pt>
                <c:pt idx="27">
                  <c:v>102600</c:v>
                </c:pt>
                <c:pt idx="28">
                  <c:v>106400</c:v>
                </c:pt>
                <c:pt idx="29">
                  <c:v>110200</c:v>
                </c:pt>
                <c:pt idx="30">
                  <c:v>114000</c:v>
                </c:pt>
                <c:pt idx="31">
                  <c:v>117800</c:v>
                </c:pt>
                <c:pt idx="32">
                  <c:v>121600</c:v>
                </c:pt>
                <c:pt idx="33">
                  <c:v>125400</c:v>
                </c:pt>
                <c:pt idx="34">
                  <c:v>129200</c:v>
                </c:pt>
                <c:pt idx="35">
                  <c:v>133000</c:v>
                </c:pt>
                <c:pt idx="36">
                  <c:v>136800</c:v>
                </c:pt>
                <c:pt idx="37">
                  <c:v>140600</c:v>
                </c:pt>
                <c:pt idx="38">
                  <c:v>144400</c:v>
                </c:pt>
                <c:pt idx="39">
                  <c:v>148200</c:v>
                </c:pt>
                <c:pt idx="40">
                  <c:v>152000</c:v>
                </c:pt>
                <c:pt idx="41">
                  <c:v>155800</c:v>
                </c:pt>
                <c:pt idx="42">
                  <c:v>159600</c:v>
                </c:pt>
                <c:pt idx="43">
                  <c:v>163400</c:v>
                </c:pt>
                <c:pt idx="44">
                  <c:v>167200</c:v>
                </c:pt>
                <c:pt idx="45">
                  <c:v>171000</c:v>
                </c:pt>
                <c:pt idx="46">
                  <c:v>174800</c:v>
                </c:pt>
                <c:pt idx="47">
                  <c:v>178600</c:v>
                </c:pt>
                <c:pt idx="48">
                  <c:v>182400</c:v>
                </c:pt>
                <c:pt idx="49">
                  <c:v>186200</c:v>
                </c:pt>
                <c:pt idx="50">
                  <c:v>190000</c:v>
                </c:pt>
              </c:numCache>
            </c:numRef>
          </c:xVal>
          <c:yVal>
            <c:numRef>
              <c:f>'Full-Part-BPE'!$S$11:$S$61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3.5010867992766648E-2</c:v>
                </c:pt>
                <c:pt idx="3">
                  <c:v>7.3041538423228136E-2</c:v>
                </c:pt>
                <c:pt idx="4">
                  <c:v>0.10558788504700256</c:v>
                </c:pt>
                <c:pt idx="5">
                  <c:v>0.13384678059200483</c:v>
                </c:pt>
                <c:pt idx="6">
                  <c:v>0.15867515458336501</c:v>
                </c:pt>
                <c:pt idx="7">
                  <c:v>0.18070555555555545</c:v>
                </c:pt>
                <c:pt idx="8">
                  <c:v>0.20041697507154932</c:v>
                </c:pt>
                <c:pt idx="9">
                  <c:v>0.21818005214482483</c:v>
                </c:pt>
                <c:pt idx="10">
                  <c:v>0.23428694211965173</c:v>
                </c:pt>
                <c:pt idx="11">
                  <c:v>0.24897165076901073</c:v>
                </c:pt>
                <c:pt idx="12">
                  <c:v>0.26242424189204994</c:v>
                </c:pt>
                <c:pt idx="13">
                  <c:v>0.27480099337748332</c:v>
                </c:pt>
                <c:pt idx="14">
                  <c:v>0.28623180500181211</c:v>
                </c:pt>
                <c:pt idx="15">
                  <c:v>0.29682569945815052</c:v>
                </c:pt>
                <c:pt idx="16">
                  <c:v>0.30667497349923323</c:v>
                </c:pt>
                <c:pt idx="17">
                  <c:v>0.31585837595907917</c:v>
                </c:pt>
                <c:pt idx="18">
                  <c:v>0.32444357268510615</c:v>
                </c:pt>
                <c:pt idx="19">
                  <c:v>0.33068161559888565</c:v>
                </c:pt>
                <c:pt idx="20">
                  <c:v>0.33649810040705552</c:v>
                </c:pt>
                <c:pt idx="21">
                  <c:v>0.34202222222222212</c:v>
                </c:pt>
                <c:pt idx="22">
                  <c:v>0.34727548387096763</c:v>
                </c:pt>
                <c:pt idx="23">
                  <c:v>0.35227732997481098</c:v>
                </c:pt>
                <c:pt idx="24">
                  <c:v>0.35704538745387449</c:v>
                </c:pt>
                <c:pt idx="25">
                  <c:v>0.36159567307692286</c:v>
                </c:pt>
                <c:pt idx="26">
                  <c:v>0.36594277320799051</c:v>
                </c:pt>
                <c:pt idx="27">
                  <c:v>0.37009999999999998</c:v>
                </c:pt>
                <c:pt idx="28">
                  <c:v>0.37407952755905494</c:v>
                </c:pt>
                <c:pt idx="29">
                  <c:v>0.37789251101321564</c:v>
                </c:pt>
                <c:pt idx="30">
                  <c:v>0.38154919093851125</c:v>
                </c:pt>
                <c:pt idx="31">
                  <c:v>0.38505898520084547</c:v>
                </c:pt>
                <c:pt idx="32">
                  <c:v>0.38843056994818637</c:v>
                </c:pt>
                <c:pt idx="33">
                  <c:v>0.39167195121951215</c:v>
                </c:pt>
                <c:pt idx="34">
                  <c:v>0.39479052841475548</c:v>
                </c:pt>
                <c:pt idx="35">
                  <c:v>0.39779315068493137</c:v>
                </c:pt>
                <c:pt idx="36">
                  <c:v>0.40068616714697392</c:v>
                </c:pt>
                <c:pt idx="37">
                  <c:v>0.40347547169811304</c:v>
                </c:pt>
                <c:pt idx="38">
                  <c:v>0.40616654309545863</c:v>
                </c:pt>
                <c:pt idx="39">
                  <c:v>0.40876448087431683</c:v>
                </c:pt>
                <c:pt idx="40">
                  <c:v>0.41127403760071601</c:v>
                </c:pt>
                <c:pt idx="41">
                  <c:v>0.41369964788732383</c:v>
                </c:pt>
                <c:pt idx="42">
                  <c:v>0.41604545454545439</c:v>
                </c:pt>
                <c:pt idx="43">
                  <c:v>0.41831533219761496</c:v>
                </c:pt>
                <c:pt idx="44">
                  <c:v>0.42051290863369639</c:v>
                </c:pt>
                <c:pt idx="45">
                  <c:v>0.4226415841584158</c:v>
                </c:pt>
                <c:pt idx="46">
                  <c:v>0.42470454914703482</c:v>
                </c:pt>
                <c:pt idx="47">
                  <c:v>0.42670479999999977</c:v>
                </c:pt>
                <c:pt idx="48">
                  <c:v>0.42864515366430256</c:v>
                </c:pt>
                <c:pt idx="49">
                  <c:v>0.43052826086956497</c:v>
                </c:pt>
                <c:pt idx="50">
                  <c:v>0.43235661820964033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01-4C2D-BE5D-F428FB44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43680"/>
        <c:axId val="119959552"/>
      </c:scatterChart>
      <c:valAx>
        <c:axId val="1103436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19959552"/>
        <c:crosses val="autoZero"/>
        <c:crossBetween val="midCat"/>
      </c:valAx>
      <c:valAx>
        <c:axId val="1199595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1103436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Block, Parry, Evade Comparison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endParaRPr lang="de-DE" sz="1200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Full BPE</c:v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'Full-BPE'!$I$11:$I$61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1460</c:v>
                </c:pt>
                <c:pt idx="2">
                  <c:v>2920</c:v>
                </c:pt>
                <c:pt idx="3">
                  <c:v>4380</c:v>
                </c:pt>
                <c:pt idx="4">
                  <c:v>5840</c:v>
                </c:pt>
                <c:pt idx="5">
                  <c:v>7300</c:v>
                </c:pt>
                <c:pt idx="6">
                  <c:v>8760</c:v>
                </c:pt>
                <c:pt idx="7">
                  <c:v>10220</c:v>
                </c:pt>
                <c:pt idx="8">
                  <c:v>11680</c:v>
                </c:pt>
                <c:pt idx="9">
                  <c:v>13140</c:v>
                </c:pt>
                <c:pt idx="10">
                  <c:v>14600</c:v>
                </c:pt>
                <c:pt idx="11">
                  <c:v>16060</c:v>
                </c:pt>
                <c:pt idx="12">
                  <c:v>17520</c:v>
                </c:pt>
                <c:pt idx="13">
                  <c:v>18980</c:v>
                </c:pt>
                <c:pt idx="14">
                  <c:v>20440</c:v>
                </c:pt>
                <c:pt idx="15">
                  <c:v>21900</c:v>
                </c:pt>
                <c:pt idx="16">
                  <c:v>23360</c:v>
                </c:pt>
                <c:pt idx="17">
                  <c:v>24820</c:v>
                </c:pt>
                <c:pt idx="18">
                  <c:v>26280</c:v>
                </c:pt>
                <c:pt idx="19">
                  <c:v>27740</c:v>
                </c:pt>
                <c:pt idx="20">
                  <c:v>29200</c:v>
                </c:pt>
                <c:pt idx="21">
                  <c:v>30660</c:v>
                </c:pt>
                <c:pt idx="22">
                  <c:v>32120</c:v>
                </c:pt>
                <c:pt idx="23">
                  <c:v>33580</c:v>
                </c:pt>
                <c:pt idx="24">
                  <c:v>35040</c:v>
                </c:pt>
                <c:pt idx="25">
                  <c:v>36500</c:v>
                </c:pt>
                <c:pt idx="26">
                  <c:v>37960</c:v>
                </c:pt>
                <c:pt idx="27">
                  <c:v>39420</c:v>
                </c:pt>
                <c:pt idx="28">
                  <c:v>40880</c:v>
                </c:pt>
                <c:pt idx="29">
                  <c:v>42340</c:v>
                </c:pt>
                <c:pt idx="30">
                  <c:v>43800</c:v>
                </c:pt>
                <c:pt idx="31">
                  <c:v>45260</c:v>
                </c:pt>
                <c:pt idx="32">
                  <c:v>46720</c:v>
                </c:pt>
                <c:pt idx="33">
                  <c:v>48180</c:v>
                </c:pt>
                <c:pt idx="34">
                  <c:v>49640</c:v>
                </c:pt>
                <c:pt idx="35">
                  <c:v>51100</c:v>
                </c:pt>
                <c:pt idx="36">
                  <c:v>52560</c:v>
                </c:pt>
                <c:pt idx="37">
                  <c:v>54020</c:v>
                </c:pt>
                <c:pt idx="38">
                  <c:v>55480</c:v>
                </c:pt>
                <c:pt idx="39">
                  <c:v>56940</c:v>
                </c:pt>
                <c:pt idx="40">
                  <c:v>58400</c:v>
                </c:pt>
                <c:pt idx="41">
                  <c:v>59860</c:v>
                </c:pt>
                <c:pt idx="42">
                  <c:v>61320</c:v>
                </c:pt>
                <c:pt idx="43">
                  <c:v>62780</c:v>
                </c:pt>
                <c:pt idx="44">
                  <c:v>64240</c:v>
                </c:pt>
                <c:pt idx="45">
                  <c:v>65700</c:v>
                </c:pt>
                <c:pt idx="46">
                  <c:v>67160</c:v>
                </c:pt>
                <c:pt idx="47">
                  <c:v>68620</c:v>
                </c:pt>
                <c:pt idx="48">
                  <c:v>70080</c:v>
                </c:pt>
                <c:pt idx="49">
                  <c:v>71540</c:v>
                </c:pt>
                <c:pt idx="50">
                  <c:v>73000</c:v>
                </c:pt>
              </c:numCache>
            </c:numRef>
          </c:xVal>
          <c:yVal>
            <c:numRef>
              <c:f>'Full-BPE'!$J$11:$J$61</c:f>
              <c:numCache>
                <c:formatCode>0.0\ %</c:formatCode>
                <c:ptCount val="51"/>
                <c:pt idx="0">
                  <c:v>0</c:v>
                </c:pt>
                <c:pt idx="1">
                  <c:v>8.5086670651524209E-3</c:v>
                </c:pt>
                <c:pt idx="2">
                  <c:v>1.6305841924398625E-2</c:v>
                </c:pt>
                <c:pt idx="3">
                  <c:v>2.3477185266630021E-2</c:v>
                </c:pt>
                <c:pt idx="4">
                  <c:v>3.0095137420718818E-2</c:v>
                </c:pt>
                <c:pt idx="5">
                  <c:v>3.622137404580153E-2</c:v>
                </c:pt>
                <c:pt idx="6">
                  <c:v>4.1908734052993134E-2</c:v>
                </c:pt>
                <c:pt idx="7">
                  <c:v>4.7202747513027006E-2</c:v>
                </c:pt>
                <c:pt idx="8">
                  <c:v>5.2142857142857144E-2</c:v>
                </c:pt>
                <c:pt idx="9">
                  <c:v>5.6763402747009306E-2</c:v>
                </c:pt>
                <c:pt idx="10">
                  <c:v>6.1094420600858373E-2</c:v>
                </c:pt>
                <c:pt idx="11">
                  <c:v>6.5162297128589272E-2</c:v>
                </c:pt>
                <c:pt idx="12">
                  <c:v>6.8990306946688201E-2</c:v>
                </c:pt>
                <c:pt idx="13">
                  <c:v>7.2599058454295817E-2</c:v>
                </c:pt>
                <c:pt idx="14">
                  <c:v>7.6006864988558367E-2</c:v>
                </c:pt>
                <c:pt idx="15">
                  <c:v>7.9230055658627091E-2</c:v>
                </c:pt>
                <c:pt idx="16">
                  <c:v>8.2283236994219661E-2</c:v>
                </c:pt>
                <c:pt idx="17">
                  <c:v>8.5179514255543834E-2</c:v>
                </c:pt>
                <c:pt idx="18">
                  <c:v>8.7930679478380236E-2</c:v>
                </c:pt>
                <c:pt idx="19">
                  <c:v>9.054737194509542E-2</c:v>
                </c:pt>
                <c:pt idx="20">
                  <c:v>9.3039215686274518E-2</c:v>
                </c:pt>
                <c:pt idx="21">
                  <c:v>9.5414937759336113E-2</c:v>
                </c:pt>
                <c:pt idx="22">
                  <c:v>9.7682470368059895E-2</c:v>
                </c:pt>
                <c:pt idx="23">
                  <c:v>9.9849039341262588E-2</c:v>
                </c:pt>
                <c:pt idx="24">
                  <c:v>0.10192124105011933</c:v>
                </c:pt>
                <c:pt idx="25">
                  <c:v>0.1039051094890511</c:v>
                </c:pt>
                <c:pt idx="26">
                  <c:v>0.10580617495711836</c:v>
                </c:pt>
                <c:pt idx="27">
                  <c:v>0.10762951554186503</c:v>
                </c:pt>
                <c:pt idx="28">
                  <c:v>0.10937980241492866</c:v>
                </c:pt>
                <c:pt idx="29">
                  <c:v>0.11106133979015334</c:v>
                </c:pt>
                <c:pt idx="30">
                  <c:v>0.11267810026385225</c:v>
                </c:pt>
                <c:pt idx="31">
                  <c:v>0.11423375614807146</c:v>
                </c:pt>
                <c:pt idx="32">
                  <c:v>0.11573170731707318</c:v>
                </c:pt>
                <c:pt idx="33">
                  <c:v>0.1171751060114742</c:v>
                </c:pt>
                <c:pt idx="34">
                  <c:v>0.11856687898089173</c:v>
                </c:pt>
                <c:pt idx="35">
                  <c:v>0.11990974729241878</c:v>
                </c:pt>
                <c:pt idx="36">
                  <c:v>0.1212062440870388</c:v>
                </c:pt>
                <c:pt idx="37">
                  <c:v>0.12245873052778423</c:v>
                </c:pt>
                <c:pt idx="38">
                  <c:v>0.12366941015089164</c:v>
                </c:pt>
                <c:pt idx="39">
                  <c:v>0.12484034180346301</c:v>
                </c:pt>
                <c:pt idx="40">
                  <c:v>0.12597345132743365</c:v>
                </c:pt>
                <c:pt idx="41">
                  <c:v>0.12707054212932722</c:v>
                </c:pt>
                <c:pt idx="42">
                  <c:v>0.12813330475782256</c:v>
                </c:pt>
                <c:pt idx="43">
                  <c:v>0.12916332559611735</c:v>
                </c:pt>
                <c:pt idx="44">
                  <c:v>0.13</c:v>
                </c:pt>
                <c:pt idx="45">
                  <c:v>0.13</c:v>
                </c:pt>
                <c:pt idx="46">
                  <c:v>0.13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A2-4D64-88CA-820CB6C4697B}"/>
            </c:ext>
          </c:extLst>
        </c:ser>
        <c:ser>
          <c:idx val="1"/>
          <c:order val="1"/>
          <c:tx>
            <c:v>Partial BPE</c:v>
          </c:tx>
          <c:spPr>
            <a:ln w="19050">
              <a:solidFill>
                <a:schemeClr val="accent3"/>
              </a:solidFill>
            </a:ln>
          </c:spPr>
          <c:marker>
            <c:symbol val="triang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4000</c:v>
                </c:pt>
                <c:pt idx="2">
                  <c:v>8000</c:v>
                </c:pt>
                <c:pt idx="3">
                  <c:v>12000</c:v>
                </c:pt>
                <c:pt idx="4">
                  <c:v>16000</c:v>
                </c:pt>
                <c:pt idx="5">
                  <c:v>20000</c:v>
                </c:pt>
                <c:pt idx="6">
                  <c:v>24000</c:v>
                </c:pt>
                <c:pt idx="7">
                  <c:v>28000</c:v>
                </c:pt>
                <c:pt idx="8">
                  <c:v>32000</c:v>
                </c:pt>
                <c:pt idx="9">
                  <c:v>36000</c:v>
                </c:pt>
                <c:pt idx="10">
                  <c:v>40000</c:v>
                </c:pt>
                <c:pt idx="11">
                  <c:v>44000</c:v>
                </c:pt>
                <c:pt idx="12">
                  <c:v>48000</c:v>
                </c:pt>
                <c:pt idx="13">
                  <c:v>52000</c:v>
                </c:pt>
                <c:pt idx="14">
                  <c:v>56000</c:v>
                </c:pt>
                <c:pt idx="15">
                  <c:v>60000</c:v>
                </c:pt>
                <c:pt idx="16">
                  <c:v>64000</c:v>
                </c:pt>
                <c:pt idx="17">
                  <c:v>68000</c:v>
                </c:pt>
                <c:pt idx="18">
                  <c:v>72000</c:v>
                </c:pt>
                <c:pt idx="19">
                  <c:v>76000</c:v>
                </c:pt>
                <c:pt idx="20">
                  <c:v>80000</c:v>
                </c:pt>
                <c:pt idx="21">
                  <c:v>84000</c:v>
                </c:pt>
                <c:pt idx="22">
                  <c:v>88000</c:v>
                </c:pt>
                <c:pt idx="23">
                  <c:v>92000</c:v>
                </c:pt>
                <c:pt idx="24">
                  <c:v>96000</c:v>
                </c:pt>
                <c:pt idx="25">
                  <c:v>100000</c:v>
                </c:pt>
                <c:pt idx="26">
                  <c:v>104000</c:v>
                </c:pt>
                <c:pt idx="27">
                  <c:v>108000</c:v>
                </c:pt>
                <c:pt idx="28">
                  <c:v>112000</c:v>
                </c:pt>
                <c:pt idx="29">
                  <c:v>116000</c:v>
                </c:pt>
                <c:pt idx="30">
                  <c:v>120000</c:v>
                </c:pt>
                <c:pt idx="31">
                  <c:v>124000</c:v>
                </c:pt>
                <c:pt idx="32">
                  <c:v>128000</c:v>
                </c:pt>
                <c:pt idx="33">
                  <c:v>132000</c:v>
                </c:pt>
                <c:pt idx="34">
                  <c:v>136000</c:v>
                </c:pt>
                <c:pt idx="35">
                  <c:v>140000</c:v>
                </c:pt>
                <c:pt idx="36">
                  <c:v>144000</c:v>
                </c:pt>
                <c:pt idx="37">
                  <c:v>148000</c:v>
                </c:pt>
                <c:pt idx="38">
                  <c:v>152000</c:v>
                </c:pt>
                <c:pt idx="39">
                  <c:v>156000</c:v>
                </c:pt>
                <c:pt idx="40">
                  <c:v>160000</c:v>
                </c:pt>
                <c:pt idx="41">
                  <c:v>164000</c:v>
                </c:pt>
                <c:pt idx="42">
                  <c:v>168000</c:v>
                </c:pt>
                <c:pt idx="43">
                  <c:v>172000</c:v>
                </c:pt>
                <c:pt idx="44">
                  <c:v>176000</c:v>
                </c:pt>
                <c:pt idx="45">
                  <c:v>180000</c:v>
                </c:pt>
                <c:pt idx="46">
                  <c:v>184000</c:v>
                </c:pt>
                <c:pt idx="47">
                  <c:v>188000</c:v>
                </c:pt>
                <c:pt idx="48">
                  <c:v>192000</c:v>
                </c:pt>
                <c:pt idx="49">
                  <c:v>196000</c:v>
                </c:pt>
                <c:pt idx="50">
                  <c:v>200000</c:v>
                </c:pt>
              </c:numCache>
            </c:numRef>
          </c:xVal>
          <c:yVal>
            <c:numRef>
              <c:f>'Part-BPE'!$J$11:$J$61</c:f>
              <c:numCache>
                <c:formatCode>0.0\ %</c:formatCode>
                <c:ptCount val="51"/>
                <c:pt idx="0">
                  <c:v>0</c:v>
                </c:pt>
                <c:pt idx="1">
                  <c:v>2.4499999999999973E-2</c:v>
                </c:pt>
                <c:pt idx="2">
                  <c:v>4.6666666666666613E-2</c:v>
                </c:pt>
                <c:pt idx="3">
                  <c:v>6.6818181818181735E-2</c:v>
                </c:pt>
                <c:pt idx="4">
                  <c:v>8.5217391304347731E-2</c:v>
                </c:pt>
                <c:pt idx="5">
                  <c:v>0.10208333333333322</c:v>
                </c:pt>
                <c:pt idx="6">
                  <c:v>0.11759999999999989</c:v>
                </c:pt>
                <c:pt idx="7">
                  <c:v>0.13192307692307678</c:v>
                </c:pt>
                <c:pt idx="8">
                  <c:v>0.14518518518518506</c:v>
                </c:pt>
                <c:pt idx="9">
                  <c:v>0.15749999999999986</c:v>
                </c:pt>
                <c:pt idx="10">
                  <c:v>0.16896551724137915</c:v>
                </c:pt>
                <c:pt idx="11">
                  <c:v>0.17966666666666653</c:v>
                </c:pt>
                <c:pt idx="12">
                  <c:v>0.18967741935483856</c:v>
                </c:pt>
                <c:pt idx="13">
                  <c:v>0.19906249999999984</c:v>
                </c:pt>
                <c:pt idx="14">
                  <c:v>0.20787878787878769</c:v>
                </c:pt>
                <c:pt idx="15">
                  <c:v>0.21617647058823514</c:v>
                </c:pt>
                <c:pt idx="16">
                  <c:v>0.22399999999999984</c:v>
                </c:pt>
                <c:pt idx="17">
                  <c:v>0.2313888888888887</c:v>
                </c:pt>
                <c:pt idx="18">
                  <c:v>0.23837837837837822</c:v>
                </c:pt>
                <c:pt idx="19">
                  <c:v>0.2449999999999998</c:v>
                </c:pt>
                <c:pt idx="20">
                  <c:v>0.25128205128205106</c:v>
                </c:pt>
                <c:pt idx="21">
                  <c:v>0.25724999999999981</c:v>
                </c:pt>
                <c:pt idx="22">
                  <c:v>0.26292682926829253</c:v>
                </c:pt>
                <c:pt idx="23">
                  <c:v>0.2683333333333332</c:v>
                </c:pt>
                <c:pt idx="24">
                  <c:v>0.27348837209302301</c:v>
                </c:pt>
                <c:pt idx="25">
                  <c:v>0.27840909090909077</c:v>
                </c:pt>
                <c:pt idx="26">
                  <c:v>0.28311111111111092</c:v>
                </c:pt>
                <c:pt idx="27">
                  <c:v>0.28760869565217373</c:v>
                </c:pt>
                <c:pt idx="28">
                  <c:v>0.29191489361702111</c:v>
                </c:pt>
                <c:pt idx="29">
                  <c:v>0.29604166666666648</c:v>
                </c:pt>
                <c:pt idx="30">
                  <c:v>0.29999999999999982</c:v>
                </c:pt>
                <c:pt idx="31">
                  <c:v>0.30379999999999985</c:v>
                </c:pt>
                <c:pt idx="32">
                  <c:v>0.30745098039215674</c:v>
                </c:pt>
                <c:pt idx="33">
                  <c:v>0.31096153846153829</c:v>
                </c:pt>
                <c:pt idx="34">
                  <c:v>0.31433962264150928</c:v>
                </c:pt>
                <c:pt idx="35">
                  <c:v>0.31759259259259248</c:v>
                </c:pt>
                <c:pt idx="36">
                  <c:v>0.32072727272727258</c:v>
                </c:pt>
                <c:pt idx="37">
                  <c:v>0.32374999999999987</c:v>
                </c:pt>
                <c:pt idx="38">
                  <c:v>0.32666666666666649</c:v>
                </c:pt>
                <c:pt idx="39">
                  <c:v>0.32948275862068954</c:v>
                </c:pt>
                <c:pt idx="40">
                  <c:v>0.33220338983050829</c:v>
                </c:pt>
                <c:pt idx="41">
                  <c:v>0.33483333333333321</c:v>
                </c:pt>
                <c:pt idx="42">
                  <c:v>0.33737704918032774</c:v>
                </c:pt>
                <c:pt idx="43">
                  <c:v>0.33983870967741925</c:v>
                </c:pt>
                <c:pt idx="44">
                  <c:v>0.34222222222222209</c:v>
                </c:pt>
                <c:pt idx="45">
                  <c:v>0.34453124999999984</c:v>
                </c:pt>
                <c:pt idx="46">
                  <c:v>0.34676923076923061</c:v>
                </c:pt>
                <c:pt idx="47">
                  <c:v>0.34893939393939377</c:v>
                </c:pt>
                <c:pt idx="48">
                  <c:v>0.35</c:v>
                </c:pt>
                <c:pt idx="49">
                  <c:v>0.35</c:v>
                </c:pt>
                <c:pt idx="50">
                  <c:v>0.35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A2-4D64-88CA-820CB6C4697B}"/>
            </c:ext>
          </c:extLst>
        </c:ser>
        <c:ser>
          <c:idx val="2"/>
          <c:order val="2"/>
          <c:tx>
            <c:v>Partial BPE Mitigation</c:v>
          </c:tx>
          <c:spPr>
            <a:ln w="19050">
              <a:solidFill>
                <a:schemeClr val="accent4"/>
              </a:solidFill>
            </a:ln>
          </c:spPr>
          <c:marker>
            <c:symbol val="circle"/>
            <c:size val="4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'Part-BPE-Mit'!$I$11:$I$61</c:f>
              <c:numCache>
                <c:formatCode>#,##0</c:formatCode>
                <c:ptCount val="51"/>
                <c:pt idx="0">
                  <c:v>0</c:v>
                </c:pt>
                <c:pt idx="1">
                  <c:v>2600</c:v>
                </c:pt>
                <c:pt idx="2">
                  <c:v>5200</c:v>
                </c:pt>
                <c:pt idx="3">
                  <c:v>7800</c:v>
                </c:pt>
                <c:pt idx="4">
                  <c:v>10400</c:v>
                </c:pt>
                <c:pt idx="5">
                  <c:v>13000</c:v>
                </c:pt>
                <c:pt idx="6">
                  <c:v>15600</c:v>
                </c:pt>
                <c:pt idx="7">
                  <c:v>18200</c:v>
                </c:pt>
                <c:pt idx="8">
                  <c:v>20800</c:v>
                </c:pt>
                <c:pt idx="9">
                  <c:v>23400</c:v>
                </c:pt>
                <c:pt idx="10">
                  <c:v>26000</c:v>
                </c:pt>
                <c:pt idx="11">
                  <c:v>28600</c:v>
                </c:pt>
                <c:pt idx="12">
                  <c:v>31200</c:v>
                </c:pt>
                <c:pt idx="13">
                  <c:v>33800</c:v>
                </c:pt>
                <c:pt idx="14">
                  <c:v>36400</c:v>
                </c:pt>
                <c:pt idx="15">
                  <c:v>39000</c:v>
                </c:pt>
                <c:pt idx="16">
                  <c:v>41600</c:v>
                </c:pt>
                <c:pt idx="17">
                  <c:v>44200</c:v>
                </c:pt>
                <c:pt idx="18">
                  <c:v>46800</c:v>
                </c:pt>
                <c:pt idx="19">
                  <c:v>49400</c:v>
                </c:pt>
                <c:pt idx="20">
                  <c:v>52000</c:v>
                </c:pt>
                <c:pt idx="21">
                  <c:v>54600</c:v>
                </c:pt>
                <c:pt idx="22">
                  <c:v>57200</c:v>
                </c:pt>
                <c:pt idx="23">
                  <c:v>59800</c:v>
                </c:pt>
                <c:pt idx="24">
                  <c:v>62400</c:v>
                </c:pt>
                <c:pt idx="25">
                  <c:v>65000</c:v>
                </c:pt>
                <c:pt idx="26">
                  <c:v>67600</c:v>
                </c:pt>
                <c:pt idx="27">
                  <c:v>70200</c:v>
                </c:pt>
                <c:pt idx="28">
                  <c:v>72800</c:v>
                </c:pt>
                <c:pt idx="29">
                  <c:v>75400</c:v>
                </c:pt>
                <c:pt idx="30">
                  <c:v>78000</c:v>
                </c:pt>
                <c:pt idx="31">
                  <c:v>80600</c:v>
                </c:pt>
                <c:pt idx="32">
                  <c:v>83200</c:v>
                </c:pt>
                <c:pt idx="33">
                  <c:v>85800</c:v>
                </c:pt>
                <c:pt idx="34">
                  <c:v>88400</c:v>
                </c:pt>
                <c:pt idx="35">
                  <c:v>91000</c:v>
                </c:pt>
                <c:pt idx="36">
                  <c:v>93600</c:v>
                </c:pt>
                <c:pt idx="37">
                  <c:v>96200</c:v>
                </c:pt>
                <c:pt idx="38">
                  <c:v>98800</c:v>
                </c:pt>
                <c:pt idx="39">
                  <c:v>101400</c:v>
                </c:pt>
                <c:pt idx="40">
                  <c:v>104000</c:v>
                </c:pt>
                <c:pt idx="41">
                  <c:v>106600</c:v>
                </c:pt>
                <c:pt idx="42">
                  <c:v>109200</c:v>
                </c:pt>
                <c:pt idx="43">
                  <c:v>111800</c:v>
                </c:pt>
                <c:pt idx="44">
                  <c:v>114400</c:v>
                </c:pt>
                <c:pt idx="45">
                  <c:v>117000</c:v>
                </c:pt>
                <c:pt idx="46">
                  <c:v>119600</c:v>
                </c:pt>
                <c:pt idx="47">
                  <c:v>122200</c:v>
                </c:pt>
                <c:pt idx="48">
                  <c:v>124800</c:v>
                </c:pt>
                <c:pt idx="49">
                  <c:v>127400</c:v>
                </c:pt>
                <c:pt idx="50">
                  <c:v>130000</c:v>
                </c:pt>
              </c:numCache>
            </c:numRef>
          </c:xVal>
          <c:yVal>
            <c:numRef>
              <c:f>'Part-BPE-Mit'!$J$11:$J$61</c:f>
              <c:numCache>
                <c:formatCode>0.0\ %</c:formatCode>
                <c:ptCount val="51"/>
                <c:pt idx="0">
                  <c:v>0.1</c:v>
                </c:pt>
                <c:pt idx="1">
                  <c:v>0.151796875</c:v>
                </c:pt>
                <c:pt idx="2">
                  <c:v>0.19404255319148936</c:v>
                </c:pt>
                <c:pt idx="3">
                  <c:v>0.22915584415584417</c:v>
                </c:pt>
                <c:pt idx="4">
                  <c:v>0.25880239520958082</c:v>
                </c:pt>
                <c:pt idx="5">
                  <c:v>0.28416666666666668</c:v>
                </c:pt>
                <c:pt idx="6">
                  <c:v>0.30611398963730574</c:v>
                </c:pt>
                <c:pt idx="7">
                  <c:v>0.3252912621359223</c:v>
                </c:pt>
                <c:pt idx="8">
                  <c:v>0.34219178082191781</c:v>
                </c:pt>
                <c:pt idx="9">
                  <c:v>0.35719827586206898</c:v>
                </c:pt>
                <c:pt idx="10">
                  <c:v>0.37061224489795919</c:v>
                </c:pt>
                <c:pt idx="11">
                  <c:v>0.38267441860465112</c:v>
                </c:pt>
                <c:pt idx="12">
                  <c:v>0.39357933579335791</c:v>
                </c:pt>
                <c:pt idx="13">
                  <c:v>0.40348591549295776</c:v>
                </c:pt>
                <c:pt idx="14">
                  <c:v>0.41252525252525252</c:v>
                </c:pt>
                <c:pt idx="15">
                  <c:v>0.4208064516129032</c:v>
                </c:pt>
                <c:pt idx="16">
                  <c:v>0.42842105263157892</c:v>
                </c:pt>
                <c:pt idx="17">
                  <c:v>0.43544642857142857</c:v>
                </c:pt>
                <c:pt idx="18">
                  <c:v>0.44194842406876789</c:v>
                </c:pt>
                <c:pt idx="19">
                  <c:v>0.44798342541436464</c:v>
                </c:pt>
                <c:pt idx="20">
                  <c:v>0.4536</c:v>
                </c:pt>
                <c:pt idx="21">
                  <c:v>0.45884020618556698</c:v>
                </c:pt>
                <c:pt idx="22">
                  <c:v>0.46374064837905238</c:v>
                </c:pt>
                <c:pt idx="23">
                  <c:v>0.46833333333333338</c:v>
                </c:pt>
                <c:pt idx="24">
                  <c:v>0.47264637002341925</c:v>
                </c:pt>
                <c:pt idx="25">
                  <c:v>0.47670454545454544</c:v>
                </c:pt>
                <c:pt idx="26">
                  <c:v>0.48052980132450329</c:v>
                </c:pt>
                <c:pt idx="27">
                  <c:v>0.48414163090128759</c:v>
                </c:pt>
                <c:pt idx="28">
                  <c:v>0.4875574112734864</c:v>
                </c:pt>
                <c:pt idx="29">
                  <c:v>0.49079268292682932</c:v>
                </c:pt>
                <c:pt idx="30">
                  <c:v>0.49386138613861386</c:v>
                </c:pt>
                <c:pt idx="31">
                  <c:v>0.49677606177606182</c:v>
                </c:pt>
                <c:pt idx="32">
                  <c:v>0.4995480225988701</c:v>
                </c:pt>
                <c:pt idx="33">
                  <c:v>0.50218750000000001</c:v>
                </c:pt>
                <c:pt idx="34">
                  <c:v>0.50470377019748658</c:v>
                </c:pt>
                <c:pt idx="35">
                  <c:v>0.50710526315789473</c:v>
                </c:pt>
                <c:pt idx="36">
                  <c:v>0.50939965694682676</c:v>
                </c:pt>
                <c:pt idx="37">
                  <c:v>0.51159395973154365</c:v>
                </c:pt>
                <c:pt idx="38">
                  <c:v>0.51369458128078815</c:v>
                </c:pt>
                <c:pt idx="39">
                  <c:v>0.51570739549839228</c:v>
                </c:pt>
                <c:pt idx="40">
                  <c:v>0.51763779527559062</c:v>
                </c:pt>
                <c:pt idx="41">
                  <c:v>0.51949074074074075</c:v>
                </c:pt>
                <c:pt idx="42">
                  <c:v>0.52127080181543117</c:v>
                </c:pt>
                <c:pt idx="43">
                  <c:v>0.52298219584569738</c:v>
                </c:pt>
                <c:pt idx="44">
                  <c:v>0.52462882096069874</c:v>
                </c:pt>
                <c:pt idx="45">
                  <c:v>0.52621428571428575</c:v>
                </c:pt>
                <c:pt idx="46">
                  <c:v>0.52774193548387094</c:v>
                </c:pt>
                <c:pt idx="47">
                  <c:v>0.52921487603305783</c:v>
                </c:pt>
                <c:pt idx="48">
                  <c:v>0.53063599458728006</c:v>
                </c:pt>
                <c:pt idx="49">
                  <c:v>0.53200797872340422</c:v>
                </c:pt>
                <c:pt idx="50">
                  <c:v>0.53333333333333333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A2-4D64-88CA-820CB6C46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75840"/>
        <c:axId val="122893056"/>
      </c:scatterChart>
      <c:valAx>
        <c:axId val="4827584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22893056"/>
        <c:crosses val="autoZero"/>
        <c:crossBetween val="midCat"/>
      </c:valAx>
      <c:valAx>
        <c:axId val="1228930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827584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Block, Parry, Evade Comparison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Full BPE</c:v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'Full-BPE'!$I$11:$I$61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1460</c:v>
                </c:pt>
                <c:pt idx="2">
                  <c:v>2920</c:v>
                </c:pt>
                <c:pt idx="3">
                  <c:v>4380</c:v>
                </c:pt>
                <c:pt idx="4">
                  <c:v>5840</c:v>
                </c:pt>
                <c:pt idx="5">
                  <c:v>7300</c:v>
                </c:pt>
                <c:pt idx="6">
                  <c:v>8760</c:v>
                </c:pt>
                <c:pt idx="7">
                  <c:v>10220</c:v>
                </c:pt>
                <c:pt idx="8">
                  <c:v>11680</c:v>
                </c:pt>
                <c:pt idx="9">
                  <c:v>13140</c:v>
                </c:pt>
                <c:pt idx="10">
                  <c:v>14600</c:v>
                </c:pt>
                <c:pt idx="11">
                  <c:v>16060</c:v>
                </c:pt>
                <c:pt idx="12">
                  <c:v>17520</c:v>
                </c:pt>
                <c:pt idx="13">
                  <c:v>18980</c:v>
                </c:pt>
                <c:pt idx="14">
                  <c:v>20440</c:v>
                </c:pt>
                <c:pt idx="15">
                  <c:v>21900</c:v>
                </c:pt>
                <c:pt idx="16">
                  <c:v>23360</c:v>
                </c:pt>
                <c:pt idx="17">
                  <c:v>24820</c:v>
                </c:pt>
                <c:pt idx="18">
                  <c:v>26280</c:v>
                </c:pt>
                <c:pt idx="19">
                  <c:v>27740</c:v>
                </c:pt>
                <c:pt idx="20">
                  <c:v>29200</c:v>
                </c:pt>
                <c:pt idx="21">
                  <c:v>30660</c:v>
                </c:pt>
                <c:pt idx="22">
                  <c:v>32120</c:v>
                </c:pt>
                <c:pt idx="23">
                  <c:v>33580</c:v>
                </c:pt>
                <c:pt idx="24">
                  <c:v>35040</c:v>
                </c:pt>
                <c:pt idx="25">
                  <c:v>36500</c:v>
                </c:pt>
                <c:pt idx="26">
                  <c:v>37960</c:v>
                </c:pt>
                <c:pt idx="27">
                  <c:v>39420</c:v>
                </c:pt>
                <c:pt idx="28">
                  <c:v>40880</c:v>
                </c:pt>
                <c:pt idx="29">
                  <c:v>42340</c:v>
                </c:pt>
                <c:pt idx="30">
                  <c:v>43800</c:v>
                </c:pt>
                <c:pt idx="31">
                  <c:v>45260</c:v>
                </c:pt>
                <c:pt idx="32">
                  <c:v>46720</c:v>
                </c:pt>
                <c:pt idx="33">
                  <c:v>48180</c:v>
                </c:pt>
                <c:pt idx="34">
                  <c:v>49640</c:v>
                </c:pt>
                <c:pt idx="35">
                  <c:v>51100</c:v>
                </c:pt>
                <c:pt idx="36">
                  <c:v>52560</c:v>
                </c:pt>
                <c:pt idx="37">
                  <c:v>54020</c:v>
                </c:pt>
                <c:pt idx="38">
                  <c:v>55480</c:v>
                </c:pt>
                <c:pt idx="39">
                  <c:v>56940</c:v>
                </c:pt>
                <c:pt idx="40">
                  <c:v>58400</c:v>
                </c:pt>
                <c:pt idx="41">
                  <c:v>59860</c:v>
                </c:pt>
                <c:pt idx="42">
                  <c:v>61320</c:v>
                </c:pt>
                <c:pt idx="43">
                  <c:v>62780</c:v>
                </c:pt>
                <c:pt idx="44">
                  <c:v>64240</c:v>
                </c:pt>
                <c:pt idx="45">
                  <c:v>65700</c:v>
                </c:pt>
                <c:pt idx="46">
                  <c:v>67160</c:v>
                </c:pt>
                <c:pt idx="47">
                  <c:v>68620</c:v>
                </c:pt>
                <c:pt idx="48">
                  <c:v>70080</c:v>
                </c:pt>
                <c:pt idx="49">
                  <c:v>71540</c:v>
                </c:pt>
                <c:pt idx="50">
                  <c:v>73000</c:v>
                </c:pt>
              </c:numCache>
            </c:numRef>
          </c:xVal>
          <c:yVal>
            <c:numRef>
              <c:f>'Full-BPE'!$K$11:$K$61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7.2743682310469323E-3</c:v>
                </c:pt>
                <c:pt idx="5">
                  <c:v>1.5172910662824208E-2</c:v>
                </c:pt>
                <c:pt idx="6">
                  <c:v>2.2433628318584069E-2</c:v>
                </c:pt>
                <c:pt idx="7">
                  <c:v>2.9130781499202552E-2</c:v>
                </c:pt>
                <c:pt idx="8">
                  <c:v>3.5327533265097237E-2</c:v>
                </c:pt>
                <c:pt idx="9">
                  <c:v>4.1077947705969405E-2</c:v>
                </c:pt>
                <c:pt idx="10">
                  <c:v>4.642857142857143E-2</c:v>
                </c:pt>
                <c:pt idx="11">
                  <c:v>5.1419696272434423E-2</c:v>
                </c:pt>
                <c:pt idx="12">
                  <c:v>5.6086375779162957E-2</c:v>
                </c:pt>
                <c:pt idx="13">
                  <c:v>6.0459249676584739E-2</c:v>
                </c:pt>
                <c:pt idx="14">
                  <c:v>6.4565217391304344E-2</c:v>
                </c:pt>
                <c:pt idx="15">
                  <c:v>6.8427991886409745E-2</c:v>
                </c:pt>
                <c:pt idx="16">
                  <c:v>7.2068557919621745E-2</c:v>
                </c:pt>
                <c:pt idx="17">
                  <c:v>7.5505553427805433E-2</c:v>
                </c:pt>
                <c:pt idx="18">
                  <c:v>7.8755588673621466E-2</c:v>
                </c:pt>
                <c:pt idx="19">
                  <c:v>8.1833514689880302E-2</c:v>
                </c:pt>
                <c:pt idx="20">
                  <c:v>8.4752650176678448E-2</c:v>
                </c:pt>
                <c:pt idx="21">
                  <c:v>8.7524974164657265E-2</c:v>
                </c:pt>
                <c:pt idx="22">
                  <c:v>9.0161290322580634E-2</c:v>
                </c:pt>
                <c:pt idx="23">
                  <c:v>9.2671367661528364E-2</c:v>
                </c:pt>
                <c:pt idx="24">
                  <c:v>9.5064061499039079E-2</c:v>
                </c:pt>
                <c:pt idx="25">
                  <c:v>9.7347417840375594E-2</c:v>
                </c:pt>
                <c:pt idx="26">
                  <c:v>9.9528763769889839E-2</c:v>
                </c:pt>
                <c:pt idx="27">
                  <c:v>0.1016147859922179</c:v>
                </c:pt>
                <c:pt idx="28">
                  <c:v>0.1036115992970123</c:v>
                </c:pt>
                <c:pt idx="29">
                  <c:v>0.10552480642386006</c:v>
                </c:pt>
                <c:pt idx="30">
                  <c:v>0.10735955056179776</c:v>
                </c:pt>
                <c:pt idx="31">
                  <c:v>0.10912056151940545</c:v>
                </c:pt>
                <c:pt idx="32">
                  <c:v>0.1108121964382083</c:v>
                </c:pt>
                <c:pt idx="33">
                  <c:v>0.11243847578724529</c:v>
                </c:pt>
                <c:pt idx="34">
                  <c:v>0.11400311526479752</c:v>
                </c:pt>
                <c:pt idx="35">
                  <c:v>0.1155095541401274</c:v>
                </c:pt>
                <c:pt idx="36">
                  <c:v>0.11696098049024513</c:v>
                </c:pt>
                <c:pt idx="37">
                  <c:v>0.11836035372144436</c:v>
                </c:pt>
                <c:pt idx="38">
                  <c:v>0.11971042471042471</c:v>
                </c:pt>
                <c:pt idx="39">
                  <c:v>0.12101375385345031</c:v>
                </c:pt>
                <c:pt idx="40">
                  <c:v>0.12227272727272727</c:v>
                </c:pt>
                <c:pt idx="41">
                  <c:v>0.12348957139582856</c:v>
                </c:pt>
                <c:pt idx="42">
                  <c:v>0.1246663660955816</c:v>
                </c:pt>
                <c:pt idx="43">
                  <c:v>0.12580505655355953</c:v>
                </c:pt>
                <c:pt idx="44">
                  <c:v>0.12690746398952424</c:v>
                </c:pt>
                <c:pt idx="45">
                  <c:v>0.12797529538131042</c:v>
                </c:pt>
                <c:pt idx="46">
                  <c:v>0.12901015228426396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F6-4F57-9516-4B3481829025}"/>
            </c:ext>
          </c:extLst>
        </c:ser>
        <c:ser>
          <c:idx val="1"/>
          <c:order val="1"/>
          <c:tx>
            <c:v>Partial BPE</c:v>
          </c:tx>
          <c:spPr>
            <a:ln w="19050">
              <a:solidFill>
                <a:schemeClr val="accent3"/>
              </a:solidFill>
            </a:ln>
          </c:spPr>
          <c:marker>
            <c:symbol val="triang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'Part-BPE'!$I$11:$I$61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4000</c:v>
                </c:pt>
                <c:pt idx="2">
                  <c:v>8000</c:v>
                </c:pt>
                <c:pt idx="3">
                  <c:v>12000</c:v>
                </c:pt>
                <c:pt idx="4">
                  <c:v>16000</c:v>
                </c:pt>
                <c:pt idx="5">
                  <c:v>20000</c:v>
                </c:pt>
                <c:pt idx="6">
                  <c:v>24000</c:v>
                </c:pt>
                <c:pt idx="7">
                  <c:v>28000</c:v>
                </c:pt>
                <c:pt idx="8">
                  <c:v>32000</c:v>
                </c:pt>
                <c:pt idx="9">
                  <c:v>36000</c:v>
                </c:pt>
                <c:pt idx="10">
                  <c:v>40000</c:v>
                </c:pt>
                <c:pt idx="11">
                  <c:v>44000</c:v>
                </c:pt>
                <c:pt idx="12">
                  <c:v>48000</c:v>
                </c:pt>
                <c:pt idx="13">
                  <c:v>52000</c:v>
                </c:pt>
                <c:pt idx="14">
                  <c:v>56000</c:v>
                </c:pt>
                <c:pt idx="15">
                  <c:v>60000</c:v>
                </c:pt>
                <c:pt idx="16">
                  <c:v>64000</c:v>
                </c:pt>
                <c:pt idx="17">
                  <c:v>68000</c:v>
                </c:pt>
                <c:pt idx="18">
                  <c:v>72000</c:v>
                </c:pt>
                <c:pt idx="19">
                  <c:v>76000</c:v>
                </c:pt>
                <c:pt idx="20">
                  <c:v>80000</c:v>
                </c:pt>
                <c:pt idx="21">
                  <c:v>84000</c:v>
                </c:pt>
                <c:pt idx="22">
                  <c:v>88000</c:v>
                </c:pt>
                <c:pt idx="23">
                  <c:v>92000</c:v>
                </c:pt>
                <c:pt idx="24">
                  <c:v>96000</c:v>
                </c:pt>
                <c:pt idx="25">
                  <c:v>100000</c:v>
                </c:pt>
                <c:pt idx="26">
                  <c:v>104000</c:v>
                </c:pt>
                <c:pt idx="27">
                  <c:v>108000</c:v>
                </c:pt>
                <c:pt idx="28">
                  <c:v>112000</c:v>
                </c:pt>
                <c:pt idx="29">
                  <c:v>116000</c:v>
                </c:pt>
                <c:pt idx="30">
                  <c:v>120000</c:v>
                </c:pt>
                <c:pt idx="31">
                  <c:v>124000</c:v>
                </c:pt>
                <c:pt idx="32">
                  <c:v>128000</c:v>
                </c:pt>
                <c:pt idx="33">
                  <c:v>132000</c:v>
                </c:pt>
                <c:pt idx="34">
                  <c:v>136000</c:v>
                </c:pt>
                <c:pt idx="35">
                  <c:v>140000</c:v>
                </c:pt>
                <c:pt idx="36">
                  <c:v>144000</c:v>
                </c:pt>
                <c:pt idx="37">
                  <c:v>148000</c:v>
                </c:pt>
                <c:pt idx="38">
                  <c:v>152000</c:v>
                </c:pt>
                <c:pt idx="39">
                  <c:v>156000</c:v>
                </c:pt>
                <c:pt idx="40">
                  <c:v>160000</c:v>
                </c:pt>
                <c:pt idx="41">
                  <c:v>164000</c:v>
                </c:pt>
                <c:pt idx="42">
                  <c:v>168000</c:v>
                </c:pt>
                <c:pt idx="43">
                  <c:v>172000</c:v>
                </c:pt>
                <c:pt idx="44">
                  <c:v>176000</c:v>
                </c:pt>
                <c:pt idx="45">
                  <c:v>180000</c:v>
                </c:pt>
                <c:pt idx="46">
                  <c:v>184000</c:v>
                </c:pt>
                <c:pt idx="47">
                  <c:v>188000</c:v>
                </c:pt>
                <c:pt idx="48">
                  <c:v>192000</c:v>
                </c:pt>
                <c:pt idx="49">
                  <c:v>196000</c:v>
                </c:pt>
                <c:pt idx="50">
                  <c:v>200000</c:v>
                </c:pt>
              </c:numCache>
            </c:numRef>
          </c:xVal>
          <c:yVal>
            <c:numRef>
              <c:f>'Part-BPE'!$K$11:$K$61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2.0982367758186373E-2</c:v>
                </c:pt>
                <c:pt idx="3">
                  <c:v>4.3477218225419612E-2</c:v>
                </c:pt>
                <c:pt idx="4">
                  <c:v>6.3913043478260795E-2</c:v>
                </c:pt>
                <c:pt idx="5">
                  <c:v>8.2560175054704504E-2</c:v>
                </c:pt>
                <c:pt idx="6">
                  <c:v>9.9643605870020871E-2</c:v>
                </c:pt>
                <c:pt idx="7">
                  <c:v>0.11535211267605622</c:v>
                </c:pt>
                <c:pt idx="8">
                  <c:v>0.12984526112185674</c:v>
                </c:pt>
                <c:pt idx="9">
                  <c:v>0.14325884543761627</c:v>
                </c:pt>
                <c:pt idx="10">
                  <c:v>0.15570915619389572</c:v>
                </c:pt>
                <c:pt idx="11">
                  <c:v>0.16729636048526847</c:v>
                </c:pt>
                <c:pt idx="12">
                  <c:v>0.17810720268006683</c:v>
                </c:pt>
                <c:pt idx="13">
                  <c:v>0.18821717990275511</c:v>
                </c:pt>
                <c:pt idx="14">
                  <c:v>0.19769230769230753</c:v>
                </c:pt>
                <c:pt idx="15">
                  <c:v>0.20659056316590549</c:v>
                </c:pt>
                <c:pt idx="16">
                  <c:v>0.21496307237813869</c:v>
                </c:pt>
                <c:pt idx="17">
                  <c:v>0.22285509325681474</c:v>
                </c:pt>
                <c:pt idx="18">
                  <c:v>0.23030683403068322</c:v>
                </c:pt>
                <c:pt idx="19">
                  <c:v>0.23735413839891437</c:v>
                </c:pt>
                <c:pt idx="20">
                  <c:v>0.24402906208718611</c:v>
                </c:pt>
                <c:pt idx="21">
                  <c:v>0.25036036036036019</c:v>
                </c:pt>
                <c:pt idx="22">
                  <c:v>0.25637390213299854</c:v>
                </c:pt>
                <c:pt idx="23">
                  <c:v>0.2620930232558138</c:v>
                </c:pt>
                <c:pt idx="24">
                  <c:v>0.26753882915173222</c:v>
                </c:pt>
                <c:pt idx="25">
                  <c:v>0.27273045507584581</c:v>
                </c:pt>
                <c:pt idx="26">
                  <c:v>0.27768529076396792</c:v>
                </c:pt>
                <c:pt idx="27">
                  <c:v>0.28241917502787051</c:v>
                </c:pt>
                <c:pt idx="28">
                  <c:v>0.28694656488549597</c:v>
                </c:pt>
                <c:pt idx="29">
                  <c:v>0.29128068303094973</c:v>
                </c:pt>
                <c:pt idx="30">
                  <c:v>0.29543364681295697</c:v>
                </c:pt>
                <c:pt idx="31">
                  <c:v>0.29941658137154542</c:v>
                </c:pt>
                <c:pt idx="32">
                  <c:v>0.30323971915747228</c:v>
                </c:pt>
                <c:pt idx="33">
                  <c:v>0.30691248770894775</c:v>
                </c:pt>
                <c:pt idx="34">
                  <c:v>0.31044358727097382</c:v>
                </c:pt>
                <c:pt idx="35">
                  <c:v>0.31384105960264885</c:v>
                </c:pt>
                <c:pt idx="36">
                  <c:v>0.31711234911792002</c:v>
                </c:pt>
                <c:pt idx="37">
                  <c:v>0.32026435733819492</c:v>
                </c:pt>
                <c:pt idx="38">
                  <c:v>0.32330349149507592</c:v>
                </c:pt>
                <c:pt idx="39">
                  <c:v>0.32623570800351787</c:v>
                </c:pt>
                <c:pt idx="40">
                  <c:v>0.32906655142610186</c:v>
                </c:pt>
                <c:pt idx="41">
                  <c:v>0.33180118946474069</c:v>
                </c:pt>
                <c:pt idx="42">
                  <c:v>0.33444444444444432</c:v>
                </c:pt>
                <c:pt idx="43">
                  <c:v>0.33700082169268675</c:v>
                </c:pt>
                <c:pt idx="44">
                  <c:v>0.3394745351657234</c:v>
                </c:pt>
                <c:pt idx="45">
                  <c:v>0.34186953062848036</c:v>
                </c:pt>
                <c:pt idx="46">
                  <c:v>0.34418950665622539</c:v>
                </c:pt>
                <c:pt idx="47">
                  <c:v>0.34643793369313786</c:v>
                </c:pt>
                <c:pt idx="48">
                  <c:v>0.34861807137433548</c:v>
                </c:pt>
                <c:pt idx="49">
                  <c:v>0.35</c:v>
                </c:pt>
                <c:pt idx="50">
                  <c:v>0.35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F6-4F57-9516-4B3481829025}"/>
            </c:ext>
          </c:extLst>
        </c:ser>
        <c:ser>
          <c:idx val="2"/>
          <c:order val="2"/>
          <c:tx>
            <c:v>Partial BPE Mitigation</c:v>
          </c:tx>
          <c:spPr>
            <a:ln w="19050">
              <a:solidFill>
                <a:schemeClr val="accent4"/>
              </a:solidFill>
            </a:ln>
          </c:spPr>
          <c:marker>
            <c:symbol val="circle"/>
            <c:size val="4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'Part-BPE-Mit'!$I$11:$I$61</c:f>
              <c:numCache>
                <c:formatCode>#,##0</c:formatCode>
                <c:ptCount val="51"/>
                <c:pt idx="0">
                  <c:v>0</c:v>
                </c:pt>
                <c:pt idx="1">
                  <c:v>2600</c:v>
                </c:pt>
                <c:pt idx="2">
                  <c:v>5200</c:v>
                </c:pt>
                <c:pt idx="3">
                  <c:v>7800</c:v>
                </c:pt>
                <c:pt idx="4">
                  <c:v>10400</c:v>
                </c:pt>
                <c:pt idx="5">
                  <c:v>13000</c:v>
                </c:pt>
                <c:pt idx="6">
                  <c:v>15600</c:v>
                </c:pt>
                <c:pt idx="7">
                  <c:v>18200</c:v>
                </c:pt>
                <c:pt idx="8">
                  <c:v>20800</c:v>
                </c:pt>
                <c:pt idx="9">
                  <c:v>23400</c:v>
                </c:pt>
                <c:pt idx="10">
                  <c:v>26000</c:v>
                </c:pt>
                <c:pt idx="11">
                  <c:v>28600</c:v>
                </c:pt>
                <c:pt idx="12">
                  <c:v>31200</c:v>
                </c:pt>
                <c:pt idx="13">
                  <c:v>33800</c:v>
                </c:pt>
                <c:pt idx="14">
                  <c:v>36400</c:v>
                </c:pt>
                <c:pt idx="15">
                  <c:v>39000</c:v>
                </c:pt>
                <c:pt idx="16">
                  <c:v>41600</c:v>
                </c:pt>
                <c:pt idx="17">
                  <c:v>44200</c:v>
                </c:pt>
                <c:pt idx="18">
                  <c:v>46800</c:v>
                </c:pt>
                <c:pt idx="19">
                  <c:v>49400</c:v>
                </c:pt>
                <c:pt idx="20">
                  <c:v>52000</c:v>
                </c:pt>
                <c:pt idx="21">
                  <c:v>54600</c:v>
                </c:pt>
                <c:pt idx="22">
                  <c:v>57200</c:v>
                </c:pt>
                <c:pt idx="23">
                  <c:v>59800</c:v>
                </c:pt>
                <c:pt idx="24">
                  <c:v>62400</c:v>
                </c:pt>
                <c:pt idx="25">
                  <c:v>65000</c:v>
                </c:pt>
                <c:pt idx="26">
                  <c:v>67600</c:v>
                </c:pt>
                <c:pt idx="27">
                  <c:v>70200</c:v>
                </c:pt>
                <c:pt idx="28">
                  <c:v>72800</c:v>
                </c:pt>
                <c:pt idx="29">
                  <c:v>75400</c:v>
                </c:pt>
                <c:pt idx="30">
                  <c:v>78000</c:v>
                </c:pt>
                <c:pt idx="31">
                  <c:v>80600</c:v>
                </c:pt>
                <c:pt idx="32">
                  <c:v>83200</c:v>
                </c:pt>
                <c:pt idx="33">
                  <c:v>85800</c:v>
                </c:pt>
                <c:pt idx="34">
                  <c:v>88400</c:v>
                </c:pt>
                <c:pt idx="35">
                  <c:v>91000</c:v>
                </c:pt>
                <c:pt idx="36">
                  <c:v>93600</c:v>
                </c:pt>
                <c:pt idx="37">
                  <c:v>96200</c:v>
                </c:pt>
                <c:pt idx="38">
                  <c:v>98800</c:v>
                </c:pt>
                <c:pt idx="39">
                  <c:v>101400</c:v>
                </c:pt>
                <c:pt idx="40">
                  <c:v>104000</c:v>
                </c:pt>
                <c:pt idx="41">
                  <c:v>106600</c:v>
                </c:pt>
                <c:pt idx="42">
                  <c:v>109200</c:v>
                </c:pt>
                <c:pt idx="43">
                  <c:v>111800</c:v>
                </c:pt>
                <c:pt idx="44">
                  <c:v>114400</c:v>
                </c:pt>
                <c:pt idx="45">
                  <c:v>117000</c:v>
                </c:pt>
                <c:pt idx="46">
                  <c:v>119600</c:v>
                </c:pt>
                <c:pt idx="47">
                  <c:v>122200</c:v>
                </c:pt>
                <c:pt idx="48">
                  <c:v>124800</c:v>
                </c:pt>
                <c:pt idx="49">
                  <c:v>127400</c:v>
                </c:pt>
                <c:pt idx="50">
                  <c:v>130000</c:v>
                </c:pt>
              </c:numCache>
            </c:numRef>
          </c:xVal>
          <c:yVal>
            <c:numRef>
              <c:f>'Part-BPE-Mit'!$K$11:$K$61</c:f>
              <c:numCache>
                <c:formatCode>0.0\ %</c:formatCode>
                <c:ptCount val="51"/>
                <c:pt idx="0">
                  <c:v>0.1</c:v>
                </c:pt>
                <c:pt idx="1">
                  <c:v>0.1</c:v>
                </c:pt>
                <c:pt idx="2">
                  <c:v>0.11296610169491526</c:v>
                </c:pt>
                <c:pt idx="3">
                  <c:v>0.16229007633587786</c:v>
                </c:pt>
                <c:pt idx="4">
                  <c:v>0.20270833333333332</c:v>
                </c:pt>
                <c:pt idx="5">
                  <c:v>0.23643312101910829</c:v>
                </c:pt>
                <c:pt idx="6">
                  <c:v>0.26500000000000001</c:v>
                </c:pt>
                <c:pt idx="7">
                  <c:v>0.28950819672131145</c:v>
                </c:pt>
                <c:pt idx="8">
                  <c:v>0.31076530612244901</c:v>
                </c:pt>
                <c:pt idx="9">
                  <c:v>0.32937799043062199</c:v>
                </c:pt>
                <c:pt idx="10">
                  <c:v>0.34581081081081078</c:v>
                </c:pt>
                <c:pt idx="11">
                  <c:v>0.36042553191489368</c:v>
                </c:pt>
                <c:pt idx="12">
                  <c:v>0.37350806451612906</c:v>
                </c:pt>
                <c:pt idx="13">
                  <c:v>0.38528735632183908</c:v>
                </c:pt>
                <c:pt idx="14">
                  <c:v>0.39594890510948899</c:v>
                </c:pt>
                <c:pt idx="15">
                  <c:v>0.4056445993031359</c:v>
                </c:pt>
                <c:pt idx="16">
                  <c:v>0.41449999999999998</c:v>
                </c:pt>
                <c:pt idx="17">
                  <c:v>0.42261980830670931</c:v>
                </c:pt>
                <c:pt idx="18">
                  <c:v>0.43009202453987727</c:v>
                </c:pt>
                <c:pt idx="19">
                  <c:v>0.43699115044247783</c:v>
                </c:pt>
                <c:pt idx="20">
                  <c:v>0.4433806818181818</c:v>
                </c:pt>
                <c:pt idx="21">
                  <c:v>0.44931506849315073</c:v>
                </c:pt>
                <c:pt idx="22">
                  <c:v>0.45484126984126982</c:v>
                </c:pt>
                <c:pt idx="23">
                  <c:v>0.46000000000000008</c:v>
                </c:pt>
                <c:pt idx="24">
                  <c:v>0.46482673267326735</c:v>
                </c:pt>
                <c:pt idx="25">
                  <c:v>0.46935251798561151</c:v>
                </c:pt>
                <c:pt idx="26">
                  <c:v>0.47360465116279071</c:v>
                </c:pt>
                <c:pt idx="27">
                  <c:v>0.47760722347629792</c:v>
                </c:pt>
                <c:pt idx="28">
                  <c:v>0.48138157894736844</c:v>
                </c:pt>
                <c:pt idx="29">
                  <c:v>0.48494669509594879</c:v>
                </c:pt>
                <c:pt idx="30">
                  <c:v>0.48831950207468877</c:v>
                </c:pt>
                <c:pt idx="31">
                  <c:v>0.49151515151515146</c:v>
                </c:pt>
                <c:pt idx="32">
                  <c:v>0.49454724409448814</c:v>
                </c:pt>
                <c:pt idx="33">
                  <c:v>0.49742802303262956</c:v>
                </c:pt>
                <c:pt idx="34">
                  <c:v>0.50016853932584271</c:v>
                </c:pt>
                <c:pt idx="35">
                  <c:v>0.50277879341864717</c:v>
                </c:pt>
                <c:pt idx="36">
                  <c:v>0.50526785714285716</c:v>
                </c:pt>
                <c:pt idx="37">
                  <c:v>0.50764397905759162</c:v>
                </c:pt>
                <c:pt idx="38">
                  <c:v>0.50991467576791816</c:v>
                </c:pt>
                <c:pt idx="39">
                  <c:v>0.51208681135225376</c:v>
                </c:pt>
                <c:pt idx="40">
                  <c:v>0.51416666666666666</c:v>
                </c:pt>
                <c:pt idx="41">
                  <c:v>0.51616000000000006</c:v>
                </c:pt>
                <c:pt idx="42">
                  <c:v>0.51807210031347961</c:v>
                </c:pt>
                <c:pt idx="43">
                  <c:v>0.51990783410138253</c:v>
                </c:pt>
                <c:pt idx="44">
                  <c:v>0.52167168674698794</c:v>
                </c:pt>
                <c:pt idx="45">
                  <c:v>0.5233677991137371</c:v>
                </c:pt>
                <c:pt idx="46">
                  <c:v>0.52500000000000002</c:v>
                </c:pt>
                <c:pt idx="47">
                  <c:v>0.52657183499288762</c:v>
                </c:pt>
                <c:pt idx="48">
                  <c:v>0.52808659217877096</c:v>
                </c:pt>
                <c:pt idx="49">
                  <c:v>0.52954732510288072</c:v>
                </c:pt>
                <c:pt idx="50">
                  <c:v>0.5309568733153639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F6-4F57-9516-4B348182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43424"/>
        <c:axId val="122345344"/>
      </c:scatterChart>
      <c:valAx>
        <c:axId val="12234342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22345344"/>
        <c:crosses val="autoZero"/>
        <c:crossBetween val="midCat"/>
      </c:valAx>
      <c:valAx>
        <c:axId val="1223453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1223434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Light Armour Mitigation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'Mit-LightA'!$K$10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'Mit-LightA'!$I$11:$I$61</c:f>
              <c:numCache>
                <c:formatCode>#,##0</c:formatCode>
                <c:ptCount val="51"/>
                <c:pt idx="0">
                  <c:v>0</c:v>
                </c:pt>
                <c:pt idx="1">
                  <c:v>1320</c:v>
                </c:pt>
                <c:pt idx="2">
                  <c:v>2640</c:v>
                </c:pt>
                <c:pt idx="3">
                  <c:v>3960</c:v>
                </c:pt>
                <c:pt idx="4">
                  <c:v>5280</c:v>
                </c:pt>
                <c:pt idx="5">
                  <c:v>6600</c:v>
                </c:pt>
                <c:pt idx="6">
                  <c:v>7920</c:v>
                </c:pt>
                <c:pt idx="7">
                  <c:v>9240</c:v>
                </c:pt>
                <c:pt idx="8">
                  <c:v>10560</c:v>
                </c:pt>
                <c:pt idx="9">
                  <c:v>11880</c:v>
                </c:pt>
                <c:pt idx="10">
                  <c:v>13200</c:v>
                </c:pt>
                <c:pt idx="11">
                  <c:v>14520</c:v>
                </c:pt>
                <c:pt idx="12">
                  <c:v>15840</c:v>
                </c:pt>
                <c:pt idx="13">
                  <c:v>17160</c:v>
                </c:pt>
                <c:pt idx="14">
                  <c:v>18480</c:v>
                </c:pt>
                <c:pt idx="15">
                  <c:v>19800</c:v>
                </c:pt>
                <c:pt idx="16">
                  <c:v>21120</c:v>
                </c:pt>
                <c:pt idx="17">
                  <c:v>22440</c:v>
                </c:pt>
                <c:pt idx="18">
                  <c:v>23760</c:v>
                </c:pt>
                <c:pt idx="19">
                  <c:v>25080</c:v>
                </c:pt>
                <c:pt idx="20">
                  <c:v>26400</c:v>
                </c:pt>
                <c:pt idx="21">
                  <c:v>27720</c:v>
                </c:pt>
                <c:pt idx="22">
                  <c:v>29040</c:v>
                </c:pt>
                <c:pt idx="23">
                  <c:v>30360</c:v>
                </c:pt>
                <c:pt idx="24">
                  <c:v>31680</c:v>
                </c:pt>
                <c:pt idx="25">
                  <c:v>33000</c:v>
                </c:pt>
                <c:pt idx="26">
                  <c:v>34320</c:v>
                </c:pt>
                <c:pt idx="27">
                  <c:v>35640</c:v>
                </c:pt>
                <c:pt idx="28">
                  <c:v>36960</c:v>
                </c:pt>
                <c:pt idx="29">
                  <c:v>38280</c:v>
                </c:pt>
                <c:pt idx="30">
                  <c:v>39600</c:v>
                </c:pt>
                <c:pt idx="31">
                  <c:v>40920</c:v>
                </c:pt>
                <c:pt idx="32">
                  <c:v>42240</c:v>
                </c:pt>
                <c:pt idx="33">
                  <c:v>43560</c:v>
                </c:pt>
                <c:pt idx="34">
                  <c:v>44880</c:v>
                </c:pt>
                <c:pt idx="35">
                  <c:v>46200</c:v>
                </c:pt>
                <c:pt idx="36">
                  <c:v>47520</c:v>
                </c:pt>
                <c:pt idx="37">
                  <c:v>48840</c:v>
                </c:pt>
                <c:pt idx="38">
                  <c:v>50160</c:v>
                </c:pt>
                <c:pt idx="39">
                  <c:v>51480</c:v>
                </c:pt>
                <c:pt idx="40">
                  <c:v>52800</c:v>
                </c:pt>
                <c:pt idx="41">
                  <c:v>54120</c:v>
                </c:pt>
                <c:pt idx="42">
                  <c:v>55440</c:v>
                </c:pt>
                <c:pt idx="43">
                  <c:v>56760</c:v>
                </c:pt>
                <c:pt idx="44">
                  <c:v>58080</c:v>
                </c:pt>
                <c:pt idx="45">
                  <c:v>59400</c:v>
                </c:pt>
                <c:pt idx="46">
                  <c:v>60720</c:v>
                </c:pt>
                <c:pt idx="47">
                  <c:v>62040</c:v>
                </c:pt>
                <c:pt idx="48">
                  <c:v>63360</c:v>
                </c:pt>
                <c:pt idx="49">
                  <c:v>64680</c:v>
                </c:pt>
                <c:pt idx="50">
                  <c:v>66000</c:v>
                </c:pt>
              </c:numCache>
            </c:numRef>
          </c:xVal>
          <c:yVal>
            <c:numRef>
              <c:f>'Mit-LightA'!$K$11:$K$61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3.0444964871194379E-3</c:v>
                </c:pt>
                <c:pt idx="7">
                  <c:v>2.7113866967305524E-2</c:v>
                </c:pt>
                <c:pt idx="8">
                  <c:v>4.9456521739130441E-2</c:v>
                </c:pt>
                <c:pt idx="9">
                  <c:v>7.0251836306400847E-2</c:v>
                </c:pt>
                <c:pt idx="10">
                  <c:v>8.9655172413793116E-2</c:v>
                </c:pt>
                <c:pt idx="11">
                  <c:v>0.10780176643768401</c:v>
                </c:pt>
                <c:pt idx="12">
                  <c:v>0.12480988593155894</c:v>
                </c:pt>
                <c:pt idx="13">
                  <c:v>0.14078341013824885</c:v>
                </c:pt>
                <c:pt idx="14">
                  <c:v>0.1558139534883721</c:v>
                </c:pt>
                <c:pt idx="15">
                  <c:v>0.16998262380538662</c:v>
                </c:pt>
                <c:pt idx="16">
                  <c:v>0.18336148648648648</c:v>
                </c:pt>
                <c:pt idx="17">
                  <c:v>0.19601479046836484</c:v>
                </c:pt>
                <c:pt idx="18">
                  <c:v>0.20800000000000002</c:v>
                </c:pt>
                <c:pt idx="19">
                  <c:v>0.2193686671862822</c:v>
                </c:pt>
                <c:pt idx="20">
                  <c:v>0.23016717325227964</c:v>
                </c:pt>
                <c:pt idx="21">
                  <c:v>0.24043736100815419</c:v>
                </c:pt>
                <c:pt idx="22">
                  <c:v>0.25021707670043419</c:v>
                </c:pt>
                <c:pt idx="23">
                  <c:v>0.25954063604240285</c:v>
                </c:pt>
                <c:pt idx="24">
                  <c:v>0.26843922651933705</c:v>
                </c:pt>
                <c:pt idx="25">
                  <c:v>0.27694125590817015</c:v>
                </c:pt>
                <c:pt idx="26">
                  <c:v>0.28507265521796565</c:v>
                </c:pt>
                <c:pt idx="27">
                  <c:v>0.29285714285714287</c:v>
                </c:pt>
                <c:pt idx="28">
                  <c:v>0.30031645569620258</c:v>
                </c:pt>
                <c:pt idx="29">
                  <c:v>0.30747055176689403</c:v>
                </c:pt>
                <c:pt idx="30">
                  <c:v>0.3143377885783718</c:v>
                </c:pt>
                <c:pt idx="31">
                  <c:v>0.32093508040500301</c:v>
                </c:pt>
                <c:pt idx="32">
                  <c:v>0.32727803738317762</c:v>
                </c:pt>
                <c:pt idx="33">
                  <c:v>0.33338108882521494</c:v>
                </c:pt>
                <c:pt idx="34">
                  <c:v>0.33925759280089995</c:v>
                </c:pt>
                <c:pt idx="35">
                  <c:v>0.34491993373826618</c:v>
                </c:pt>
                <c:pt idx="36">
                  <c:v>0.35037960954446856</c:v>
                </c:pt>
                <c:pt idx="37">
                  <c:v>0.35564730953649443</c:v>
                </c:pt>
                <c:pt idx="38">
                  <c:v>0.36073298429319373</c:v>
                </c:pt>
                <c:pt idx="39">
                  <c:v>0.36564590838908906</c:v>
                </c:pt>
                <c:pt idx="40">
                  <c:v>0.37039473684210522</c:v>
                </c:pt>
                <c:pt idx="41">
                  <c:v>0.37498755599800893</c:v>
                </c:pt>
                <c:pt idx="42">
                  <c:v>0.3794319294809011</c:v>
                </c:pt>
                <c:pt idx="43">
                  <c:v>0.38373493975903616</c:v>
                </c:pt>
                <c:pt idx="44">
                  <c:v>0.38790322580645165</c:v>
                </c:pt>
                <c:pt idx="45">
                  <c:v>0.3919430172816441</c:v>
                </c:pt>
                <c:pt idx="46">
                  <c:v>0.39586016559337622</c:v>
                </c:pt>
                <c:pt idx="47">
                  <c:v>0.39966017217942906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F8-47D8-BE2F-CF7BBB57FE96}"/>
            </c:ext>
          </c:extLst>
        </c:ser>
        <c:ser>
          <c:idx val="1"/>
          <c:order val="1"/>
          <c:tx>
            <c:strRef>
              <c:f>'Mit-LightA'!$J$10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'Mit-LightA'!$I$11:$I$61</c:f>
              <c:numCache>
                <c:formatCode>#,##0</c:formatCode>
                <c:ptCount val="51"/>
                <c:pt idx="0">
                  <c:v>0</c:v>
                </c:pt>
                <c:pt idx="1">
                  <c:v>1320</c:v>
                </c:pt>
                <c:pt idx="2">
                  <c:v>2640</c:v>
                </c:pt>
                <c:pt idx="3">
                  <c:v>3960</c:v>
                </c:pt>
                <c:pt idx="4">
                  <c:v>5280</c:v>
                </c:pt>
                <c:pt idx="5">
                  <c:v>6600</c:v>
                </c:pt>
                <c:pt idx="6">
                  <c:v>7920</c:v>
                </c:pt>
                <c:pt idx="7">
                  <c:v>9240</c:v>
                </c:pt>
                <c:pt idx="8">
                  <c:v>10560</c:v>
                </c:pt>
                <c:pt idx="9">
                  <c:v>11880</c:v>
                </c:pt>
                <c:pt idx="10">
                  <c:v>13200</c:v>
                </c:pt>
                <c:pt idx="11">
                  <c:v>14520</c:v>
                </c:pt>
                <c:pt idx="12">
                  <c:v>15840</c:v>
                </c:pt>
                <c:pt idx="13">
                  <c:v>17160</c:v>
                </c:pt>
                <c:pt idx="14">
                  <c:v>18480</c:v>
                </c:pt>
                <c:pt idx="15">
                  <c:v>19800</c:v>
                </c:pt>
                <c:pt idx="16">
                  <c:v>21120</c:v>
                </c:pt>
                <c:pt idx="17">
                  <c:v>22440</c:v>
                </c:pt>
                <c:pt idx="18">
                  <c:v>23760</c:v>
                </c:pt>
                <c:pt idx="19">
                  <c:v>25080</c:v>
                </c:pt>
                <c:pt idx="20">
                  <c:v>26400</c:v>
                </c:pt>
                <c:pt idx="21">
                  <c:v>27720</c:v>
                </c:pt>
                <c:pt idx="22">
                  <c:v>29040</c:v>
                </c:pt>
                <c:pt idx="23">
                  <c:v>30360</c:v>
                </c:pt>
                <c:pt idx="24">
                  <c:v>31680</c:v>
                </c:pt>
                <c:pt idx="25">
                  <c:v>33000</c:v>
                </c:pt>
                <c:pt idx="26">
                  <c:v>34320</c:v>
                </c:pt>
                <c:pt idx="27">
                  <c:v>35640</c:v>
                </c:pt>
                <c:pt idx="28">
                  <c:v>36960</c:v>
                </c:pt>
                <c:pt idx="29">
                  <c:v>38280</c:v>
                </c:pt>
                <c:pt idx="30">
                  <c:v>39600</c:v>
                </c:pt>
                <c:pt idx="31">
                  <c:v>40920</c:v>
                </c:pt>
                <c:pt idx="32">
                  <c:v>42240</c:v>
                </c:pt>
                <c:pt idx="33">
                  <c:v>43560</c:v>
                </c:pt>
                <c:pt idx="34">
                  <c:v>44880</c:v>
                </c:pt>
                <c:pt idx="35">
                  <c:v>46200</c:v>
                </c:pt>
                <c:pt idx="36">
                  <c:v>47520</c:v>
                </c:pt>
                <c:pt idx="37">
                  <c:v>48840</c:v>
                </c:pt>
                <c:pt idx="38">
                  <c:v>50160</c:v>
                </c:pt>
                <c:pt idx="39">
                  <c:v>51480</c:v>
                </c:pt>
                <c:pt idx="40">
                  <c:v>52800</c:v>
                </c:pt>
                <c:pt idx="41">
                  <c:v>54120</c:v>
                </c:pt>
                <c:pt idx="42">
                  <c:v>55440</c:v>
                </c:pt>
                <c:pt idx="43">
                  <c:v>56760</c:v>
                </c:pt>
                <c:pt idx="44">
                  <c:v>58080</c:v>
                </c:pt>
                <c:pt idx="45">
                  <c:v>59400</c:v>
                </c:pt>
                <c:pt idx="46">
                  <c:v>60720</c:v>
                </c:pt>
                <c:pt idx="47">
                  <c:v>62040</c:v>
                </c:pt>
                <c:pt idx="48">
                  <c:v>63360</c:v>
                </c:pt>
                <c:pt idx="49">
                  <c:v>64680</c:v>
                </c:pt>
                <c:pt idx="50">
                  <c:v>66000</c:v>
                </c:pt>
              </c:numCache>
            </c:numRef>
          </c:xVal>
          <c:yVal>
            <c:numRef>
              <c:f>'Mit-LightA'!$J$11:$J$61</c:f>
              <c:numCache>
                <c:formatCode>0.0\ %</c:formatCode>
                <c:ptCount val="51"/>
                <c:pt idx="0">
                  <c:v>0</c:v>
                </c:pt>
                <c:pt idx="1">
                  <c:v>2.4292185730464329E-2</c:v>
                </c:pt>
                <c:pt idx="2">
                  <c:v>4.6834061135371183E-2</c:v>
                </c:pt>
                <c:pt idx="3">
                  <c:v>6.7808219178082205E-2</c:v>
                </c:pt>
                <c:pt idx="4">
                  <c:v>8.7372708757637488E-2</c:v>
                </c:pt>
                <c:pt idx="5">
                  <c:v>0.10566502463054189</c:v>
                </c:pt>
                <c:pt idx="6">
                  <c:v>0.12280534351145041</c:v>
                </c:pt>
                <c:pt idx="7">
                  <c:v>0.13889916743755784</c:v>
                </c:pt>
                <c:pt idx="8">
                  <c:v>0.15403949730700181</c:v>
                </c:pt>
                <c:pt idx="9">
                  <c:v>0.16830863121185702</c:v>
                </c:pt>
                <c:pt idx="10">
                  <c:v>0.1817796610169492</c:v>
                </c:pt>
                <c:pt idx="11">
                  <c:v>0.19451772464962902</c:v>
                </c:pt>
                <c:pt idx="12">
                  <c:v>0.20658105939004817</c:v>
                </c:pt>
                <c:pt idx="13">
                  <c:v>0.21802189210320561</c:v>
                </c:pt>
                <c:pt idx="14">
                  <c:v>0.22888719512195121</c:v>
                </c:pt>
                <c:pt idx="15">
                  <c:v>0.23921933085501862</c:v>
                </c:pt>
                <c:pt idx="16">
                  <c:v>0.24905660377358491</c:v>
                </c:pt>
                <c:pt idx="17">
                  <c:v>0.25843373493975907</c:v>
                </c:pt>
                <c:pt idx="18">
                  <c:v>0.26738227146814408</c:v>
                </c:pt>
                <c:pt idx="19">
                  <c:v>0.27593094109681787</c:v>
                </c:pt>
                <c:pt idx="20">
                  <c:v>0.2841059602649007</c:v>
                </c:pt>
                <c:pt idx="21">
                  <c:v>0.29193130265716138</c:v>
                </c:pt>
                <c:pt idx="22">
                  <c:v>0.2994289340101523</c:v>
                </c:pt>
                <c:pt idx="23">
                  <c:v>0.30661901802361718</c:v>
                </c:pt>
                <c:pt idx="24">
                  <c:v>0.31352009744214376</c:v>
                </c:pt>
                <c:pt idx="25">
                  <c:v>0.32014925373134329</c:v>
                </c:pt>
                <c:pt idx="26">
                  <c:v>0.32652224824355974</c:v>
                </c:pt>
                <c:pt idx="27">
                  <c:v>0.33265364732912128</c:v>
                </c:pt>
                <c:pt idx="28">
                  <c:v>0.33855693348365279</c:v>
                </c:pt>
                <c:pt idx="29">
                  <c:v>0.3442446043165468</c:v>
                </c:pt>
                <c:pt idx="30">
                  <c:v>0.34972826086956527</c:v>
                </c:pt>
                <c:pt idx="31">
                  <c:v>0.35501868659903901</c:v>
                </c:pt>
                <c:pt idx="32">
                  <c:v>0.3601259181532005</c:v>
                </c:pt>
                <c:pt idx="33">
                  <c:v>0.36505930892212479</c:v>
                </c:pt>
                <c:pt idx="34">
                  <c:v>0.36982758620689654</c:v>
                </c:pt>
                <c:pt idx="35">
                  <c:v>0.37443890274314218</c:v>
                </c:pt>
                <c:pt idx="36">
                  <c:v>0.37890088321884202</c:v>
                </c:pt>
                <c:pt idx="37">
                  <c:v>0.38322066634476104</c:v>
                </c:pt>
                <c:pt idx="38">
                  <c:v>0.38740494296577949</c:v>
                </c:pt>
                <c:pt idx="39">
                  <c:v>0.39145999064108561</c:v>
                </c:pt>
                <c:pt idx="40">
                  <c:v>0.39539170506912447</c:v>
                </c:pt>
                <c:pt idx="41">
                  <c:v>0.39920562868815251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F8-47D8-BE2F-CF7BBB57F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44480"/>
        <c:axId val="91264896"/>
      </c:scatterChart>
      <c:valAx>
        <c:axId val="906444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1264896"/>
        <c:crosses val="autoZero"/>
        <c:crossBetween val="midCat"/>
      </c:valAx>
      <c:valAx>
        <c:axId val="912648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90644480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Medium Armour Mitigation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'Mit-MediumA'!$K$10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'Mit-MediumA'!$I$11:$I$61</c:f>
              <c:numCache>
                <c:formatCode>#,##0</c:formatCode>
                <c:ptCount val="51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  <c:pt idx="23">
                  <c:v>34500</c:v>
                </c:pt>
                <c:pt idx="24">
                  <c:v>36000</c:v>
                </c:pt>
                <c:pt idx="25">
                  <c:v>37500</c:v>
                </c:pt>
                <c:pt idx="26">
                  <c:v>39000</c:v>
                </c:pt>
                <c:pt idx="27">
                  <c:v>40500</c:v>
                </c:pt>
                <c:pt idx="28">
                  <c:v>42000</c:v>
                </c:pt>
                <c:pt idx="29">
                  <c:v>43500</c:v>
                </c:pt>
                <c:pt idx="30">
                  <c:v>45000</c:v>
                </c:pt>
                <c:pt idx="31">
                  <c:v>46500</c:v>
                </c:pt>
                <c:pt idx="32">
                  <c:v>48000</c:v>
                </c:pt>
                <c:pt idx="33">
                  <c:v>49500</c:v>
                </c:pt>
                <c:pt idx="34">
                  <c:v>51000</c:v>
                </c:pt>
                <c:pt idx="35">
                  <c:v>52500</c:v>
                </c:pt>
                <c:pt idx="36">
                  <c:v>54000</c:v>
                </c:pt>
                <c:pt idx="37">
                  <c:v>55500</c:v>
                </c:pt>
                <c:pt idx="38">
                  <c:v>57000</c:v>
                </c:pt>
                <c:pt idx="39">
                  <c:v>58500</c:v>
                </c:pt>
                <c:pt idx="40">
                  <c:v>60000</c:v>
                </c:pt>
                <c:pt idx="41">
                  <c:v>61500</c:v>
                </c:pt>
                <c:pt idx="42">
                  <c:v>63000</c:v>
                </c:pt>
                <c:pt idx="43">
                  <c:v>64500</c:v>
                </c:pt>
                <c:pt idx="44">
                  <c:v>66000</c:v>
                </c:pt>
                <c:pt idx="45">
                  <c:v>67500</c:v>
                </c:pt>
                <c:pt idx="46">
                  <c:v>69000</c:v>
                </c:pt>
                <c:pt idx="47">
                  <c:v>70500</c:v>
                </c:pt>
                <c:pt idx="48">
                  <c:v>72000</c:v>
                </c:pt>
                <c:pt idx="49">
                  <c:v>73500</c:v>
                </c:pt>
                <c:pt idx="50">
                  <c:v>75000</c:v>
                </c:pt>
              </c:numCache>
            </c:numRef>
          </c:xVal>
          <c:yVal>
            <c:numRef>
              <c:f>'Mit-MediumA'!$K$11:$K$61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2.3297837655627457E-2</c:v>
                </c:pt>
                <c:pt idx="7">
                  <c:v>4.9828573873695589E-2</c:v>
                </c:pt>
                <c:pt idx="8">
                  <c:v>7.470939723571085E-2</c:v>
                </c:pt>
                <c:pt idx="9">
                  <c:v>9.8089575343911634E-2</c:v>
                </c:pt>
                <c:pt idx="10">
                  <c:v>0.12010089724386591</c:v>
                </c:pt>
                <c:pt idx="11">
                  <c:v>0.14086015898673218</c:v>
                </c:pt>
                <c:pt idx="12">
                  <c:v>0.16047123676605474</c:v>
                </c:pt>
                <c:pt idx="13">
                  <c:v>0.17902682531922623</c:v>
                </c:pt>
                <c:pt idx="14">
                  <c:v>0.19660990299658021</c:v>
                </c:pt>
                <c:pt idx="15">
                  <c:v>0.21329497235711462</c:v>
                </c:pt>
                <c:pt idx="16">
                  <c:v>0.22914911541701771</c:v>
                </c:pt>
                <c:pt idx="17">
                  <c:v>0.24423289507250134</c:v>
                </c:pt>
                <c:pt idx="18">
                  <c:v>0.25860112823715908</c:v>
                </c:pt>
                <c:pt idx="19">
                  <c:v>0.27230355150003283</c:v>
                </c:pt>
                <c:pt idx="20">
                  <c:v>0.28538539634134835</c:v>
                </c:pt>
                <c:pt idx="21">
                  <c:v>0.29788788792483056</c:v>
                </c:pt>
                <c:pt idx="22">
                  <c:v>0.30984867905589603</c:v>
                </c:pt>
                <c:pt idx="23">
                  <c:v>0.32130222892907506</c:v>
                </c:pt>
                <c:pt idx="24">
                  <c:v>0.33228013468945644</c:v>
                </c:pt>
                <c:pt idx="25">
                  <c:v>0.34281142252704594</c:v>
                </c:pt>
                <c:pt idx="26">
                  <c:v>0.35292280395134251</c:v>
                </c:pt>
                <c:pt idx="27">
                  <c:v>0.36263890201035315</c:v>
                </c:pt>
                <c:pt idx="28">
                  <c:v>0.37198245148756559</c:v>
                </c:pt>
                <c:pt idx="29">
                  <c:v>0.380974476503397</c:v>
                </c:pt>
                <c:pt idx="30">
                  <c:v>0.38963444844150535</c:v>
                </c:pt>
                <c:pt idx="31">
                  <c:v>0.39798042669680117</c:v>
                </c:pt>
                <c:pt idx="32">
                  <c:v>0.40602918438632368</c:v>
                </c:pt>
                <c:pt idx="33">
                  <c:v>0.41379632086447155</c:v>
                </c:pt>
                <c:pt idx="34">
                  <c:v>0.42129636263078113</c:v>
                </c:pt>
                <c:pt idx="35">
                  <c:v>0.42854285400367931</c:v>
                </c:pt>
                <c:pt idx="36">
                  <c:v>0.4355484387510008</c:v>
                </c:pt>
                <c:pt idx="37">
                  <c:v>0.44232493371230192</c:v>
                </c:pt>
                <c:pt idx="38">
                  <c:v>0.44888339531479171</c:v>
                </c:pt>
                <c:pt idx="39">
                  <c:v>0.45523417977047775</c:v>
                </c:pt>
                <c:pt idx="40">
                  <c:v>0.46138699764391722</c:v>
                </c:pt>
                <c:pt idx="41">
                  <c:v>0.46735096339532589</c:v>
                </c:pt>
                <c:pt idx="42">
                  <c:v>0.4731346404306721</c:v>
                </c:pt>
                <c:pt idx="43">
                  <c:v>0.4787460821270545</c:v>
                </c:pt>
                <c:pt idx="44">
                  <c:v>0.4841928692467008</c:v>
                </c:pt>
                <c:pt idx="45">
                  <c:v>0.48948214410510871</c:v>
                </c:pt>
                <c:pt idx="46">
                  <c:v>0.49462064181717552</c:v>
                </c:pt>
                <c:pt idx="47">
                  <c:v>0.49961471890875286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D-401C-9055-4BFAB5275B53}"/>
            </c:ext>
          </c:extLst>
        </c:ser>
        <c:ser>
          <c:idx val="1"/>
          <c:order val="1"/>
          <c:tx>
            <c:strRef>
              <c:f>'Mit-MediumA'!$J$10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'Mit-MediumA'!$I$11:$I$61</c:f>
              <c:numCache>
                <c:formatCode>#,##0</c:formatCode>
                <c:ptCount val="51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  <c:pt idx="23">
                  <c:v>34500</c:v>
                </c:pt>
                <c:pt idx="24">
                  <c:v>36000</c:v>
                </c:pt>
                <c:pt idx="25">
                  <c:v>37500</c:v>
                </c:pt>
                <c:pt idx="26">
                  <c:v>39000</c:v>
                </c:pt>
                <c:pt idx="27">
                  <c:v>40500</c:v>
                </c:pt>
                <c:pt idx="28">
                  <c:v>42000</c:v>
                </c:pt>
                <c:pt idx="29">
                  <c:v>43500</c:v>
                </c:pt>
                <c:pt idx="30">
                  <c:v>45000</c:v>
                </c:pt>
                <c:pt idx="31">
                  <c:v>46500</c:v>
                </c:pt>
                <c:pt idx="32">
                  <c:v>48000</c:v>
                </c:pt>
                <c:pt idx="33">
                  <c:v>49500</c:v>
                </c:pt>
                <c:pt idx="34">
                  <c:v>51000</c:v>
                </c:pt>
                <c:pt idx="35">
                  <c:v>52500</c:v>
                </c:pt>
                <c:pt idx="36">
                  <c:v>54000</c:v>
                </c:pt>
                <c:pt idx="37">
                  <c:v>55500</c:v>
                </c:pt>
                <c:pt idx="38">
                  <c:v>57000</c:v>
                </c:pt>
                <c:pt idx="39">
                  <c:v>58500</c:v>
                </c:pt>
                <c:pt idx="40">
                  <c:v>60000</c:v>
                </c:pt>
                <c:pt idx="41">
                  <c:v>61500</c:v>
                </c:pt>
                <c:pt idx="42">
                  <c:v>63000</c:v>
                </c:pt>
                <c:pt idx="43">
                  <c:v>64500</c:v>
                </c:pt>
                <c:pt idx="44">
                  <c:v>66000</c:v>
                </c:pt>
                <c:pt idx="45">
                  <c:v>67500</c:v>
                </c:pt>
                <c:pt idx="46">
                  <c:v>69000</c:v>
                </c:pt>
                <c:pt idx="47">
                  <c:v>70500</c:v>
                </c:pt>
                <c:pt idx="48">
                  <c:v>72000</c:v>
                </c:pt>
                <c:pt idx="49">
                  <c:v>73500</c:v>
                </c:pt>
                <c:pt idx="50">
                  <c:v>75000</c:v>
                </c:pt>
              </c:numCache>
            </c:numRef>
          </c:xVal>
          <c:yVal>
            <c:numRef>
              <c:f>'Mit-MediumA'!$J$11:$J$61</c:f>
              <c:numCache>
                <c:formatCode>0.0\ %</c:formatCode>
                <c:ptCount val="51"/>
                <c:pt idx="0">
                  <c:v>0</c:v>
                </c:pt>
                <c:pt idx="1">
                  <c:v>2.8021824055911783E-2</c:v>
                </c:pt>
                <c:pt idx="2">
                  <c:v>5.42550305583481E-2</c:v>
                </c:pt>
                <c:pt idx="3">
                  <c:v>7.8865572857871866E-2</c:v>
                </c:pt>
                <c:pt idx="4">
                  <c:v>0.10199949000255</c:v>
                </c:pt>
                <c:pt idx="5">
                  <c:v>0.12378580686501522</c:v>
                </c:pt>
                <c:pt idx="6">
                  <c:v>0.14433894179744436</c:v>
                </c:pt>
                <c:pt idx="7">
                  <c:v>0.16376071669396014</c:v>
                </c:pt>
                <c:pt idx="8">
                  <c:v>0.1821420440087321</c:v>
                </c:pt>
                <c:pt idx="9">
                  <c:v>0.19956434972021861</c:v>
                </c:pt>
                <c:pt idx="10">
                  <c:v>0.2161007792339863</c:v>
                </c:pt>
                <c:pt idx="11">
                  <c:v>0.23181722389576903</c:v>
                </c:pt>
                <c:pt idx="12">
                  <c:v>0.24677319849516738</c:v>
                </c:pt>
                <c:pt idx="13">
                  <c:v>0.2610225943992347</c:v>
                </c:pt>
                <c:pt idx="14">
                  <c:v>0.27461432840642924</c:v>
                </c:pt>
                <c:pt idx="15">
                  <c:v>0.28759290378607599</c:v>
                </c:pt>
                <c:pt idx="16">
                  <c:v>0.29999889706287847</c:v>
                </c:pt>
                <c:pt idx="17">
                  <c:v>0.31186938176481382</c:v>
                </c:pt>
                <c:pt idx="18">
                  <c:v>0.32323829845669561</c:v>
                </c:pt>
                <c:pt idx="19">
                  <c:v>0.33413677883869369</c:v>
                </c:pt>
                <c:pt idx="20">
                  <c:v>0.34459343042759993</c:v>
                </c:pt>
                <c:pt idx="21">
                  <c:v>0.3546345873026911</c:v>
                </c:pt>
                <c:pt idx="22">
                  <c:v>0.36428453154372881</c:v>
                </c:pt>
                <c:pt idx="23">
                  <c:v>0.37356568928124434</c:v>
                </c:pt>
                <c:pt idx="24">
                  <c:v>0.38249880469123532</c:v>
                </c:pt>
                <c:pt idx="25">
                  <c:v>0.39110309477578292</c:v>
                </c:pt>
                <c:pt idx="26">
                  <c:v>0.3993963873602791</c:v>
                </c:pt>
                <c:pt idx="27">
                  <c:v>0.40739524439276809</c:v>
                </c:pt>
                <c:pt idx="28">
                  <c:v>0.41511507233990602</c:v>
                </c:pt>
                <c:pt idx="29">
                  <c:v>0.42257022122793936</c:v>
                </c:pt>
                <c:pt idx="30">
                  <c:v>0.42977407366833237</c:v>
                </c:pt>
                <c:pt idx="31">
                  <c:v>0.43673912503004136</c:v>
                </c:pt>
                <c:pt idx="32">
                  <c:v>0.4434770557688702</c:v>
                </c:pt>
                <c:pt idx="33">
                  <c:v>0.44999879679466104</c:v>
                </c:pt>
                <c:pt idx="34">
                  <c:v>0.45631458864581936</c:v>
                </c:pt>
                <c:pt idx="35">
                  <c:v>0.46243403514498671</c:v>
                </c:pt>
                <c:pt idx="36">
                  <c:v>0.46836615212716298</c:v>
                </c:pt>
                <c:pt idx="37">
                  <c:v>0.47411941176027206</c:v>
                </c:pt>
                <c:pt idx="38">
                  <c:v>0.47970178291637894</c:v>
                </c:pt>
                <c:pt idx="39">
                  <c:v>0.48512076799812687</c:v>
                </c:pt>
                <c:pt idx="40">
                  <c:v>0.49038343657827743</c:v>
                </c:pt>
                <c:pt idx="41">
                  <c:v>0.49549645616953525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FD-401C-9055-4BFAB5275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67360"/>
        <c:axId val="123109760"/>
      </c:scatterChart>
      <c:valAx>
        <c:axId val="12236736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23109760"/>
        <c:crosses val="autoZero"/>
        <c:crossBetween val="midCat"/>
      </c:valAx>
      <c:valAx>
        <c:axId val="1231097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122367360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Heavy Armour Mitigation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'Mit-HeavyA'!$K$10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'Mit-HeavyA'!$I$11:$I$61</c:f>
              <c:numCache>
                <c:formatCode>#,##0</c:formatCode>
                <c:ptCount val="51"/>
                <c:pt idx="0">
                  <c:v>0</c:v>
                </c:pt>
                <c:pt idx="1">
                  <c:v>1640</c:v>
                </c:pt>
                <c:pt idx="2">
                  <c:v>3280</c:v>
                </c:pt>
                <c:pt idx="3">
                  <c:v>4920</c:v>
                </c:pt>
                <c:pt idx="4">
                  <c:v>6560</c:v>
                </c:pt>
                <c:pt idx="5">
                  <c:v>8200</c:v>
                </c:pt>
                <c:pt idx="6">
                  <c:v>9840</c:v>
                </c:pt>
                <c:pt idx="7">
                  <c:v>11480</c:v>
                </c:pt>
                <c:pt idx="8">
                  <c:v>13120</c:v>
                </c:pt>
                <c:pt idx="9">
                  <c:v>14760</c:v>
                </c:pt>
                <c:pt idx="10">
                  <c:v>16400</c:v>
                </c:pt>
                <c:pt idx="11">
                  <c:v>18040</c:v>
                </c:pt>
                <c:pt idx="12">
                  <c:v>19680</c:v>
                </c:pt>
                <c:pt idx="13">
                  <c:v>21320</c:v>
                </c:pt>
                <c:pt idx="14">
                  <c:v>22960</c:v>
                </c:pt>
                <c:pt idx="15">
                  <c:v>24600</c:v>
                </c:pt>
                <c:pt idx="16">
                  <c:v>26240</c:v>
                </c:pt>
                <c:pt idx="17">
                  <c:v>27880</c:v>
                </c:pt>
                <c:pt idx="18">
                  <c:v>29520</c:v>
                </c:pt>
                <c:pt idx="19">
                  <c:v>31160</c:v>
                </c:pt>
                <c:pt idx="20">
                  <c:v>32800</c:v>
                </c:pt>
                <c:pt idx="21">
                  <c:v>34440</c:v>
                </c:pt>
                <c:pt idx="22">
                  <c:v>36080</c:v>
                </c:pt>
                <c:pt idx="23">
                  <c:v>37720</c:v>
                </c:pt>
                <c:pt idx="24">
                  <c:v>39360</c:v>
                </c:pt>
                <c:pt idx="25">
                  <c:v>41000</c:v>
                </c:pt>
                <c:pt idx="26">
                  <c:v>42640</c:v>
                </c:pt>
                <c:pt idx="27">
                  <c:v>44280</c:v>
                </c:pt>
                <c:pt idx="28">
                  <c:v>45920</c:v>
                </c:pt>
                <c:pt idx="29">
                  <c:v>47560</c:v>
                </c:pt>
                <c:pt idx="30">
                  <c:v>49200</c:v>
                </c:pt>
                <c:pt idx="31">
                  <c:v>50840</c:v>
                </c:pt>
                <c:pt idx="32">
                  <c:v>52480</c:v>
                </c:pt>
                <c:pt idx="33">
                  <c:v>54120</c:v>
                </c:pt>
                <c:pt idx="34">
                  <c:v>55760</c:v>
                </c:pt>
                <c:pt idx="35">
                  <c:v>57400</c:v>
                </c:pt>
                <c:pt idx="36">
                  <c:v>59040</c:v>
                </c:pt>
                <c:pt idx="37">
                  <c:v>60680</c:v>
                </c:pt>
                <c:pt idx="38">
                  <c:v>62320</c:v>
                </c:pt>
                <c:pt idx="39">
                  <c:v>63960</c:v>
                </c:pt>
                <c:pt idx="40">
                  <c:v>65600</c:v>
                </c:pt>
                <c:pt idx="41">
                  <c:v>67240</c:v>
                </c:pt>
                <c:pt idx="42">
                  <c:v>68880</c:v>
                </c:pt>
                <c:pt idx="43">
                  <c:v>70520</c:v>
                </c:pt>
                <c:pt idx="44">
                  <c:v>72160</c:v>
                </c:pt>
                <c:pt idx="45">
                  <c:v>73800</c:v>
                </c:pt>
                <c:pt idx="46">
                  <c:v>75440</c:v>
                </c:pt>
                <c:pt idx="47">
                  <c:v>77080</c:v>
                </c:pt>
                <c:pt idx="48">
                  <c:v>78720</c:v>
                </c:pt>
                <c:pt idx="49">
                  <c:v>80360</c:v>
                </c:pt>
                <c:pt idx="50">
                  <c:v>82000</c:v>
                </c:pt>
              </c:numCache>
            </c:numRef>
          </c:xVal>
          <c:yVal>
            <c:numRef>
              <c:f>'Mit-HeavyA'!$K$11:$K$61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8.2256968048946243E-3</c:v>
                </c:pt>
                <c:pt idx="6">
                  <c:v>3.7830687830687791E-2</c:v>
                </c:pt>
                <c:pt idx="7">
                  <c:v>6.587250482936248E-2</c:v>
                </c:pt>
                <c:pt idx="8">
                  <c:v>9.2471769134253395E-2</c:v>
                </c:pt>
                <c:pt idx="9">
                  <c:v>0.1177370030581039</c:v>
                </c:pt>
                <c:pt idx="10">
                  <c:v>0.14176610978520277</c:v>
                </c:pt>
                <c:pt idx="11">
                  <c:v>0.16464764123471162</c:v>
                </c:pt>
                <c:pt idx="12">
                  <c:v>0.18646188850966997</c:v>
                </c:pt>
                <c:pt idx="13">
                  <c:v>0.20728182323513047</c:v>
                </c:pt>
                <c:pt idx="14">
                  <c:v>0.22717391304347812</c:v>
                </c:pt>
                <c:pt idx="15">
                  <c:v>0.24619883040935658</c:v>
                </c:pt>
                <c:pt idx="16">
                  <c:v>0.26441207075962525</c:v>
                </c:pt>
                <c:pt idx="17">
                  <c:v>0.28186449312277112</c:v>
                </c:pt>
                <c:pt idx="18">
                  <c:v>0.29860279441117749</c:v>
                </c:pt>
                <c:pt idx="19">
                  <c:v>0.31466992665036653</c:v>
                </c:pt>
                <c:pt idx="20">
                  <c:v>0.33010546500479371</c:v>
                </c:pt>
                <c:pt idx="21">
                  <c:v>0.34494593323930406</c:v>
                </c:pt>
                <c:pt idx="22">
                  <c:v>0.35922509225092242</c:v>
                </c:pt>
                <c:pt idx="23">
                  <c:v>0.37297419646899033</c:v>
                </c:pt>
                <c:pt idx="24">
                  <c:v>0.38622222222222197</c:v>
                </c:pt>
                <c:pt idx="25">
                  <c:v>0.39899607158446077</c:v>
                </c:pt>
                <c:pt idx="26">
                  <c:v>0.41132075471698099</c:v>
                </c:pt>
                <c:pt idx="27">
                  <c:v>0.42321955330804872</c:v>
                </c:pt>
                <c:pt idx="28">
                  <c:v>0.43471416735708351</c:v>
                </c:pt>
                <c:pt idx="29">
                  <c:v>0.44582484725050897</c:v>
                </c:pt>
                <c:pt idx="30">
                  <c:v>0.45657051282051259</c:v>
                </c:pt>
                <c:pt idx="31">
                  <c:v>0.46696886085928241</c:v>
                </c:pt>
                <c:pt idx="32">
                  <c:v>0.4770364623739331</c:v>
                </c:pt>
                <c:pt idx="33">
                  <c:v>0.48678885070637623</c:v>
                </c:pt>
                <c:pt idx="34">
                  <c:v>0.4962406015037592</c:v>
                </c:pt>
                <c:pt idx="35">
                  <c:v>0.50540540540540513</c:v>
                </c:pt>
                <c:pt idx="36">
                  <c:v>0.51429613420860665</c:v>
                </c:pt>
                <c:pt idx="37">
                  <c:v>0.52292490118577062</c:v>
                </c:pt>
                <c:pt idx="38">
                  <c:v>0.53130311614730863</c:v>
                </c:pt>
                <c:pt idx="39">
                  <c:v>0.53944153577661402</c:v>
                </c:pt>
                <c:pt idx="40">
                  <c:v>0.54735030970406029</c:v>
                </c:pt>
                <c:pt idx="41">
                  <c:v>0.55503902273498451</c:v>
                </c:pt>
                <c:pt idx="42">
                  <c:v>0.56251673360107068</c:v>
                </c:pt>
                <c:pt idx="43">
                  <c:v>0.56979201056454254</c:v>
                </c:pt>
                <c:pt idx="44">
                  <c:v>0.57687296416938094</c:v>
                </c:pt>
                <c:pt idx="45">
                  <c:v>0.58376727740276413</c:v>
                </c:pt>
                <c:pt idx="46">
                  <c:v>0.59048223350253792</c:v>
                </c:pt>
                <c:pt idx="47">
                  <c:v>0.59702474162229846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42-475E-9D0C-854209612808}"/>
            </c:ext>
          </c:extLst>
        </c:ser>
        <c:ser>
          <c:idx val="1"/>
          <c:order val="1"/>
          <c:tx>
            <c:strRef>
              <c:f>'Mit-HeavyA'!$J$10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'Mit-HeavyA'!$I$11:$I$61</c:f>
              <c:numCache>
                <c:formatCode>#,##0</c:formatCode>
                <c:ptCount val="51"/>
                <c:pt idx="0">
                  <c:v>0</c:v>
                </c:pt>
                <c:pt idx="1">
                  <c:v>1640</c:v>
                </c:pt>
                <c:pt idx="2">
                  <c:v>3280</c:v>
                </c:pt>
                <c:pt idx="3">
                  <c:v>4920</c:v>
                </c:pt>
                <c:pt idx="4">
                  <c:v>6560</c:v>
                </c:pt>
                <c:pt idx="5">
                  <c:v>8200</c:v>
                </c:pt>
                <c:pt idx="6">
                  <c:v>9840</c:v>
                </c:pt>
                <c:pt idx="7">
                  <c:v>11480</c:v>
                </c:pt>
                <c:pt idx="8">
                  <c:v>13120</c:v>
                </c:pt>
                <c:pt idx="9">
                  <c:v>14760</c:v>
                </c:pt>
                <c:pt idx="10">
                  <c:v>16400</c:v>
                </c:pt>
                <c:pt idx="11">
                  <c:v>18040</c:v>
                </c:pt>
                <c:pt idx="12">
                  <c:v>19680</c:v>
                </c:pt>
                <c:pt idx="13">
                  <c:v>21320</c:v>
                </c:pt>
                <c:pt idx="14">
                  <c:v>22960</c:v>
                </c:pt>
                <c:pt idx="15">
                  <c:v>24600</c:v>
                </c:pt>
                <c:pt idx="16">
                  <c:v>26240</c:v>
                </c:pt>
                <c:pt idx="17">
                  <c:v>27880</c:v>
                </c:pt>
                <c:pt idx="18">
                  <c:v>29520</c:v>
                </c:pt>
                <c:pt idx="19">
                  <c:v>31160</c:v>
                </c:pt>
                <c:pt idx="20">
                  <c:v>32800</c:v>
                </c:pt>
                <c:pt idx="21">
                  <c:v>34440</c:v>
                </c:pt>
                <c:pt idx="22">
                  <c:v>36080</c:v>
                </c:pt>
                <c:pt idx="23">
                  <c:v>37720</c:v>
                </c:pt>
                <c:pt idx="24">
                  <c:v>39360</c:v>
                </c:pt>
                <c:pt idx="25">
                  <c:v>41000</c:v>
                </c:pt>
                <c:pt idx="26">
                  <c:v>42640</c:v>
                </c:pt>
                <c:pt idx="27">
                  <c:v>44280</c:v>
                </c:pt>
                <c:pt idx="28">
                  <c:v>45920</c:v>
                </c:pt>
                <c:pt idx="29">
                  <c:v>47560</c:v>
                </c:pt>
                <c:pt idx="30">
                  <c:v>49200</c:v>
                </c:pt>
                <c:pt idx="31">
                  <c:v>50840</c:v>
                </c:pt>
                <c:pt idx="32">
                  <c:v>52480</c:v>
                </c:pt>
                <c:pt idx="33">
                  <c:v>54120</c:v>
                </c:pt>
                <c:pt idx="34">
                  <c:v>55760</c:v>
                </c:pt>
                <c:pt idx="35">
                  <c:v>57400</c:v>
                </c:pt>
                <c:pt idx="36">
                  <c:v>59040</c:v>
                </c:pt>
                <c:pt idx="37">
                  <c:v>60680</c:v>
                </c:pt>
                <c:pt idx="38">
                  <c:v>62320</c:v>
                </c:pt>
                <c:pt idx="39">
                  <c:v>63960</c:v>
                </c:pt>
                <c:pt idx="40">
                  <c:v>65600</c:v>
                </c:pt>
                <c:pt idx="41">
                  <c:v>67240</c:v>
                </c:pt>
                <c:pt idx="42">
                  <c:v>68880</c:v>
                </c:pt>
                <c:pt idx="43">
                  <c:v>70520</c:v>
                </c:pt>
                <c:pt idx="44">
                  <c:v>72160</c:v>
                </c:pt>
                <c:pt idx="45">
                  <c:v>73800</c:v>
                </c:pt>
                <c:pt idx="46">
                  <c:v>75440</c:v>
                </c:pt>
                <c:pt idx="47">
                  <c:v>77080</c:v>
                </c:pt>
                <c:pt idx="48">
                  <c:v>78720</c:v>
                </c:pt>
                <c:pt idx="49">
                  <c:v>80360</c:v>
                </c:pt>
                <c:pt idx="50">
                  <c:v>82000</c:v>
                </c:pt>
              </c:numCache>
            </c:numRef>
          </c:xVal>
          <c:yVal>
            <c:numRef>
              <c:f>'Mit-HeavyA'!$J$11:$J$61</c:f>
              <c:numCache>
                <c:formatCode>0.0\ %</c:formatCode>
                <c:ptCount val="51"/>
                <c:pt idx="0">
                  <c:v>0</c:v>
                </c:pt>
                <c:pt idx="1">
                  <c:v>3.0046635576282451E-2</c:v>
                </c:pt>
                <c:pt idx="2">
                  <c:v>5.8495460440985692E-2</c:v>
                </c:pt>
                <c:pt idx="3">
                  <c:v>8.5470625394819907E-2</c:v>
                </c:pt>
                <c:pt idx="4">
                  <c:v>0.11108374384236445</c:v>
                </c:pt>
                <c:pt idx="5">
                  <c:v>0.13543543543543535</c:v>
                </c:pt>
                <c:pt idx="6">
                  <c:v>0.15861664712778417</c:v>
                </c:pt>
                <c:pt idx="7">
                  <c:v>0.18070978820835706</c:v>
                </c:pt>
                <c:pt idx="8">
                  <c:v>0.20178970917225936</c:v>
                </c:pt>
                <c:pt idx="9">
                  <c:v>0.2219245489338435</c:v>
                </c:pt>
                <c:pt idx="10">
                  <c:v>0.24117647058823513</c:v>
                </c:pt>
                <c:pt idx="11">
                  <c:v>0.25960230245944516</c:v>
                </c:pt>
                <c:pt idx="12">
                  <c:v>0.27725409836065557</c:v>
                </c:pt>
                <c:pt idx="13">
                  <c:v>0.29417962870045145</c:v>
                </c:pt>
                <c:pt idx="14">
                  <c:v>0.31042281219272355</c:v>
                </c:pt>
                <c:pt idx="15">
                  <c:v>0.32602409638554197</c:v>
                </c:pt>
                <c:pt idx="16">
                  <c:v>0.34102079395085044</c:v>
                </c:pt>
                <c:pt idx="17">
                  <c:v>0.35544738062123299</c:v>
                </c:pt>
                <c:pt idx="18">
                  <c:v>0.36933575978161948</c:v>
                </c:pt>
                <c:pt idx="19">
                  <c:v>0.38271549799017401</c:v>
                </c:pt>
                <c:pt idx="20">
                  <c:v>0.39561403508771908</c:v>
                </c:pt>
                <c:pt idx="21">
                  <c:v>0.40805687203791452</c:v>
                </c:pt>
                <c:pt idx="22">
                  <c:v>0.42006773920406415</c:v>
                </c:pt>
                <c:pt idx="23">
                  <c:v>0.43166874739908434</c:v>
                </c:pt>
                <c:pt idx="24">
                  <c:v>0.44288052373158732</c:v>
                </c:pt>
                <c:pt idx="25">
                  <c:v>0.4537223340040239</c:v>
                </c:pt>
                <c:pt idx="26">
                  <c:v>0.4642121931908153</c:v>
                </c:pt>
                <c:pt idx="27">
                  <c:v>0.47436696532917788</c:v>
                </c:pt>
                <c:pt idx="28">
                  <c:v>0.48420245398772982</c:v>
                </c:pt>
                <c:pt idx="29">
                  <c:v>0.49373348433371056</c:v>
                </c:pt>
                <c:pt idx="30">
                  <c:v>0.50297397769516705</c:v>
                </c:pt>
                <c:pt idx="31">
                  <c:v>0.51193701940681047</c:v>
                </c:pt>
                <c:pt idx="32">
                  <c:v>0.52063492063492045</c:v>
                </c:pt>
                <c:pt idx="33">
                  <c:v>0.52907927479559169</c:v>
                </c:pt>
                <c:pt idx="34">
                  <c:v>0.53728100911002086</c:v>
                </c:pt>
                <c:pt idx="35">
                  <c:v>0.54525043177892896</c:v>
                </c:pt>
                <c:pt idx="36">
                  <c:v>0.5529972752043596</c:v>
                </c:pt>
                <c:pt idx="37">
                  <c:v>0.56053073563990563</c:v>
                </c:pt>
                <c:pt idx="38">
                  <c:v>0.56785950960901244</c:v>
                </c:pt>
                <c:pt idx="39">
                  <c:v>0.57499182739457322</c:v>
                </c:pt>
                <c:pt idx="40">
                  <c:v>0.5819354838709675</c:v>
                </c:pt>
                <c:pt idx="41">
                  <c:v>0.58869786692136239</c:v>
                </c:pt>
                <c:pt idx="42">
                  <c:v>0.5952859836580765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42-475E-9D0C-85420961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2176"/>
        <c:axId val="47175552"/>
      </c:scatterChart>
      <c:valAx>
        <c:axId val="4688217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7175552"/>
        <c:crosses val="autoZero"/>
        <c:crossBetween val="midCat"/>
      </c:valAx>
      <c:valAx>
        <c:axId val="471755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6882176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OutgHeal!$B$1</c:f>
          <c:strCache>
            <c:ptCount val="1"/>
            <c:pt idx="0">
              <c:v>Outgoing Healing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OutgHeal!$B$1</c:f>
              <c:strCache>
                <c:ptCount val="1"/>
                <c:pt idx="0">
                  <c:v>Outgoing Healing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OutgHeal!$I$11:$I$61</c:f>
              <c:numCache>
                <c:formatCode>#,##0</c:formatCode>
                <c:ptCount val="51"/>
                <c:pt idx="0">
                  <c:v>0</c:v>
                </c:pt>
                <c:pt idx="1">
                  <c:v>6000</c:v>
                </c:pt>
                <c:pt idx="2">
                  <c:v>12000</c:v>
                </c:pt>
                <c:pt idx="3">
                  <c:v>18000</c:v>
                </c:pt>
                <c:pt idx="4">
                  <c:v>24000</c:v>
                </c:pt>
                <c:pt idx="5">
                  <c:v>30000</c:v>
                </c:pt>
                <c:pt idx="6">
                  <c:v>36000</c:v>
                </c:pt>
                <c:pt idx="7">
                  <c:v>42000</c:v>
                </c:pt>
                <c:pt idx="8">
                  <c:v>48000</c:v>
                </c:pt>
                <c:pt idx="9">
                  <c:v>54000</c:v>
                </c:pt>
                <c:pt idx="10">
                  <c:v>60000</c:v>
                </c:pt>
                <c:pt idx="11">
                  <c:v>66000</c:v>
                </c:pt>
                <c:pt idx="12">
                  <c:v>72000</c:v>
                </c:pt>
                <c:pt idx="13">
                  <c:v>78000</c:v>
                </c:pt>
                <c:pt idx="14">
                  <c:v>84000</c:v>
                </c:pt>
                <c:pt idx="15">
                  <c:v>90000</c:v>
                </c:pt>
                <c:pt idx="16">
                  <c:v>96000</c:v>
                </c:pt>
                <c:pt idx="17">
                  <c:v>102000</c:v>
                </c:pt>
                <c:pt idx="18">
                  <c:v>108000</c:v>
                </c:pt>
                <c:pt idx="19">
                  <c:v>114000</c:v>
                </c:pt>
                <c:pt idx="20">
                  <c:v>120000</c:v>
                </c:pt>
                <c:pt idx="21">
                  <c:v>126000</c:v>
                </c:pt>
                <c:pt idx="22">
                  <c:v>132000</c:v>
                </c:pt>
                <c:pt idx="23">
                  <c:v>138000</c:v>
                </c:pt>
                <c:pt idx="24">
                  <c:v>144000</c:v>
                </c:pt>
                <c:pt idx="25">
                  <c:v>150000</c:v>
                </c:pt>
                <c:pt idx="26">
                  <c:v>156000</c:v>
                </c:pt>
                <c:pt idx="27">
                  <c:v>162000</c:v>
                </c:pt>
                <c:pt idx="28">
                  <c:v>168000</c:v>
                </c:pt>
                <c:pt idx="29">
                  <c:v>174000</c:v>
                </c:pt>
                <c:pt idx="30">
                  <c:v>180000</c:v>
                </c:pt>
                <c:pt idx="31">
                  <c:v>186000</c:v>
                </c:pt>
                <c:pt idx="32">
                  <c:v>192000</c:v>
                </c:pt>
                <c:pt idx="33">
                  <c:v>198000</c:v>
                </c:pt>
                <c:pt idx="34">
                  <c:v>204000</c:v>
                </c:pt>
                <c:pt idx="35">
                  <c:v>210000</c:v>
                </c:pt>
                <c:pt idx="36">
                  <c:v>216000</c:v>
                </c:pt>
                <c:pt idx="37">
                  <c:v>222000</c:v>
                </c:pt>
                <c:pt idx="38">
                  <c:v>228000</c:v>
                </c:pt>
                <c:pt idx="39">
                  <c:v>234000</c:v>
                </c:pt>
                <c:pt idx="40">
                  <c:v>240000</c:v>
                </c:pt>
                <c:pt idx="41">
                  <c:v>246000</c:v>
                </c:pt>
                <c:pt idx="42">
                  <c:v>252000</c:v>
                </c:pt>
                <c:pt idx="43">
                  <c:v>258000</c:v>
                </c:pt>
                <c:pt idx="44">
                  <c:v>264000</c:v>
                </c:pt>
                <c:pt idx="45">
                  <c:v>270000</c:v>
                </c:pt>
                <c:pt idx="46">
                  <c:v>276000</c:v>
                </c:pt>
                <c:pt idx="47">
                  <c:v>282000</c:v>
                </c:pt>
                <c:pt idx="48">
                  <c:v>288000</c:v>
                </c:pt>
                <c:pt idx="49">
                  <c:v>294000</c:v>
                </c:pt>
                <c:pt idx="50">
                  <c:v>300000</c:v>
                </c:pt>
              </c:numCache>
            </c:numRef>
          </c:xVal>
          <c:yVal>
            <c:numRef>
              <c:f>OutgHeal!$J$11:$J$61</c:f>
              <c:numCache>
                <c:formatCode>0.0\ %</c:formatCode>
                <c:ptCount val="51"/>
                <c:pt idx="0">
                  <c:v>0</c:v>
                </c:pt>
                <c:pt idx="1">
                  <c:v>3.459875060067278E-2</c:v>
                </c:pt>
                <c:pt idx="2">
                  <c:v>6.7258290518449365E-2</c:v>
                </c:pt>
                <c:pt idx="3">
                  <c:v>9.8137210358927821E-2</c:v>
                </c:pt>
                <c:pt idx="4">
                  <c:v>0.12737726669615221</c:v>
                </c:pt>
                <c:pt idx="5">
                  <c:v>0.15510555794915992</c:v>
                </c:pt>
                <c:pt idx="6">
                  <c:v>0.18143637127257467</c:v>
                </c:pt>
                <c:pt idx="7">
                  <c:v>0.20647275706677604</c:v>
                </c:pt>
                <c:pt idx="8">
                  <c:v>0.23030787684926043</c:v>
                </c:pt>
                <c:pt idx="9">
                  <c:v>0.25302616165560338</c:v>
                </c:pt>
                <c:pt idx="10">
                  <c:v>0.27470431133155299</c:v>
                </c:pt>
                <c:pt idx="11">
                  <c:v>0.2954121596419248</c:v>
                </c:pt>
                <c:pt idx="12">
                  <c:v>0.31521342575702316</c:v>
                </c:pt>
                <c:pt idx="13">
                  <c:v>0.33416636915387382</c:v>
                </c:pt>
                <c:pt idx="14">
                  <c:v>0.35232436211115015</c:v>
                </c:pt>
                <c:pt idx="15">
                  <c:v>0.36973639164669653</c:v>
                </c:pt>
                <c:pt idx="16">
                  <c:v>0.38644750083864488</c:v>
                </c:pt>
                <c:pt idx="17">
                  <c:v>0.40249917790200607</c:v>
                </c:pt>
                <c:pt idx="18">
                  <c:v>0.41792970009674313</c:v>
                </c:pt>
                <c:pt idx="19">
                  <c:v>0.43277443846883917</c:v>
                </c:pt>
                <c:pt idx="20">
                  <c:v>0.44706612853151212</c:v>
                </c:pt>
                <c:pt idx="21">
                  <c:v>0.46083511124657134</c:v>
                </c:pt>
                <c:pt idx="22">
                  <c:v>0.47410954803950933</c:v>
                </c:pt>
                <c:pt idx="23">
                  <c:v>0.48691561305498399</c:v>
                </c:pt>
                <c:pt idx="24">
                  <c:v>0.49927766541462026</c:v>
                </c:pt>
                <c:pt idx="25">
                  <c:v>0.51121840386253925</c:v>
                </c:pt>
                <c:pt idx="26">
                  <c:v>0.52275900586428392</c:v>
                </c:pt>
                <c:pt idx="27">
                  <c:v>0.53391925295248577</c:v>
                </c:pt>
                <c:pt idx="28">
                  <c:v>0.54471764388003263</c:v>
                </c:pt>
                <c:pt idx="29">
                  <c:v>0.55517149694230272</c:v>
                </c:pt>
                <c:pt idx="30">
                  <c:v>0.56529704265898995</c:v>
                </c:pt>
                <c:pt idx="31">
                  <c:v>0.57510950785879944</c:v>
                </c:pt>
                <c:pt idx="32">
                  <c:v>0.58462319208322777</c:v>
                </c:pt>
                <c:pt idx="33">
                  <c:v>0.59385153711572125</c:v>
                </c:pt>
                <c:pt idx="34">
                  <c:v>0.60280719034720531</c:v>
                </c:pt>
                <c:pt idx="35">
                  <c:v>0.6115020626061638</c:v>
                </c:pt>
                <c:pt idx="36">
                  <c:v>0.61994738100932811</c:v>
                </c:pt>
                <c:pt idx="37">
                  <c:v>0.62815373732610258</c:v>
                </c:pt>
                <c:pt idx="38">
                  <c:v>0.63613113229481533</c:v>
                </c:pt>
                <c:pt idx="39">
                  <c:v>0.64388901628066975</c:v>
                </c:pt>
                <c:pt idx="40">
                  <c:v>0.65143632662293627</c:v>
                </c:pt>
                <c:pt idx="41">
                  <c:v>0.65878152198170081</c:v>
                </c:pt>
                <c:pt idx="42">
                  <c:v>0.66593261396168257</c:v>
                </c:pt>
                <c:pt idx="43">
                  <c:v>0.67289719626168243</c:v>
                </c:pt>
                <c:pt idx="44">
                  <c:v>0.67968247157262418</c:v>
                </c:pt>
                <c:pt idx="45">
                  <c:v>0.68629527642448651</c:v>
                </c:pt>
                <c:pt idx="46">
                  <c:v>0.69274210416230941</c:v>
                </c:pt>
                <c:pt idx="47">
                  <c:v>0.69902912621359248</c:v>
                </c:pt>
                <c:pt idx="48">
                  <c:v>0.7</c:v>
                </c:pt>
                <c:pt idx="49">
                  <c:v>0.7</c:v>
                </c:pt>
                <c:pt idx="50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BF-4A9F-B868-FF2C83EDC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48576"/>
        <c:axId val="46294912"/>
      </c:scatterChart>
      <c:valAx>
        <c:axId val="4544857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294912"/>
        <c:crosses val="autoZero"/>
        <c:crossBetween val="midCat"/>
      </c:valAx>
      <c:valAx>
        <c:axId val="462949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5448576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CritHit!$B$1</c:f>
          <c:strCache>
            <c:ptCount val="1"/>
            <c:pt idx="0">
              <c:v>Critical Hit Chance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CritHit!$B$1</c:f>
              <c:strCache>
                <c:ptCount val="1"/>
                <c:pt idx="0">
                  <c:v>Critical Hit Chance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CritHit!$I$11:$I$61</c:f>
              <c:numCache>
                <c:formatCode>#,##0</c:formatCode>
                <c:ptCount val="51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  <c:pt idx="23">
                  <c:v>34500</c:v>
                </c:pt>
                <c:pt idx="24">
                  <c:v>36000</c:v>
                </c:pt>
                <c:pt idx="25">
                  <c:v>37500</c:v>
                </c:pt>
                <c:pt idx="26">
                  <c:v>39000</c:v>
                </c:pt>
                <c:pt idx="27">
                  <c:v>40500</c:v>
                </c:pt>
                <c:pt idx="28">
                  <c:v>42000</c:v>
                </c:pt>
                <c:pt idx="29">
                  <c:v>43500</c:v>
                </c:pt>
                <c:pt idx="30">
                  <c:v>45000</c:v>
                </c:pt>
                <c:pt idx="31">
                  <c:v>46500</c:v>
                </c:pt>
                <c:pt idx="32">
                  <c:v>48000</c:v>
                </c:pt>
                <c:pt idx="33">
                  <c:v>49500</c:v>
                </c:pt>
                <c:pt idx="34">
                  <c:v>51000</c:v>
                </c:pt>
                <c:pt idx="35">
                  <c:v>52500</c:v>
                </c:pt>
                <c:pt idx="36">
                  <c:v>54000</c:v>
                </c:pt>
                <c:pt idx="37">
                  <c:v>55500</c:v>
                </c:pt>
                <c:pt idx="38">
                  <c:v>57000</c:v>
                </c:pt>
                <c:pt idx="39">
                  <c:v>58500</c:v>
                </c:pt>
                <c:pt idx="40">
                  <c:v>60000</c:v>
                </c:pt>
                <c:pt idx="41">
                  <c:v>61500</c:v>
                </c:pt>
                <c:pt idx="42">
                  <c:v>63000</c:v>
                </c:pt>
                <c:pt idx="43">
                  <c:v>64500</c:v>
                </c:pt>
                <c:pt idx="44">
                  <c:v>66000</c:v>
                </c:pt>
                <c:pt idx="45">
                  <c:v>67500</c:v>
                </c:pt>
                <c:pt idx="46">
                  <c:v>69000</c:v>
                </c:pt>
                <c:pt idx="47">
                  <c:v>70500</c:v>
                </c:pt>
                <c:pt idx="48">
                  <c:v>72000</c:v>
                </c:pt>
                <c:pt idx="49">
                  <c:v>73500</c:v>
                </c:pt>
                <c:pt idx="50">
                  <c:v>75000</c:v>
                </c:pt>
              </c:numCache>
            </c:numRef>
          </c:xVal>
          <c:yVal>
            <c:numRef>
              <c:f>CritHit!$J$11:$J$61</c:f>
              <c:numCache>
                <c:formatCode>0.0\ %</c:formatCode>
                <c:ptCount val="51"/>
                <c:pt idx="0">
                  <c:v>0</c:v>
                </c:pt>
                <c:pt idx="1">
                  <c:v>1.0344827586206896E-2</c:v>
                </c:pt>
                <c:pt idx="2">
                  <c:v>2.0270270270270268E-2</c:v>
                </c:pt>
                <c:pt idx="3">
                  <c:v>2.9801324503311258E-2</c:v>
                </c:pt>
                <c:pt idx="4">
                  <c:v>3.896103896103896E-2</c:v>
                </c:pt>
                <c:pt idx="5">
                  <c:v>4.7770700636942671E-2</c:v>
                </c:pt>
                <c:pt idx="6">
                  <c:v>5.6249999999999994E-2</c:v>
                </c:pt>
                <c:pt idx="7">
                  <c:v>6.4417177914110432E-2</c:v>
                </c:pt>
                <c:pt idx="8">
                  <c:v>7.2289156626506021E-2</c:v>
                </c:pt>
                <c:pt idx="9">
                  <c:v>7.9881656804733719E-2</c:v>
                </c:pt>
                <c:pt idx="10">
                  <c:v>8.7209302325581398E-2</c:v>
                </c:pt>
                <c:pt idx="11">
                  <c:v>9.4285714285714292E-2</c:v>
                </c:pt>
                <c:pt idx="12">
                  <c:v>0.10112359550561797</c:v>
                </c:pt>
                <c:pt idx="13">
                  <c:v>0.10773480662983427</c:v>
                </c:pt>
                <c:pt idx="14">
                  <c:v>0.11413043478260869</c:v>
                </c:pt>
                <c:pt idx="15">
                  <c:v>0.12032085561497328</c:v>
                </c:pt>
                <c:pt idx="16">
                  <c:v>0.12631578947368421</c:v>
                </c:pt>
                <c:pt idx="17">
                  <c:v>0.13212435233160622</c:v>
                </c:pt>
                <c:pt idx="18">
                  <c:v>0.13775510204081631</c:v>
                </c:pt>
                <c:pt idx="19">
                  <c:v>0.14321608040201003</c:v>
                </c:pt>
                <c:pt idx="20">
                  <c:v>0.14851485148514851</c:v>
                </c:pt>
                <c:pt idx="21">
                  <c:v>0.15365853658536585</c:v>
                </c:pt>
                <c:pt idx="22">
                  <c:v>0.15865384615384617</c:v>
                </c:pt>
                <c:pt idx="23">
                  <c:v>0.16350710900473936</c:v>
                </c:pt>
                <c:pt idx="24">
                  <c:v>0.16822429906542055</c:v>
                </c:pt>
                <c:pt idx="25">
                  <c:v>0.1728110599078341</c:v>
                </c:pt>
                <c:pt idx="26">
                  <c:v>0.17727272727272728</c:v>
                </c:pt>
                <c:pt idx="27">
                  <c:v>0.18161434977578478</c:v>
                </c:pt>
                <c:pt idx="28">
                  <c:v>0.18584070796460175</c:v>
                </c:pt>
                <c:pt idx="29">
                  <c:v>0.18995633187772926</c:v>
                </c:pt>
                <c:pt idx="30">
                  <c:v>0.19396551724137934</c:v>
                </c:pt>
                <c:pt idx="31">
                  <c:v>0.19787234042553192</c:v>
                </c:pt>
                <c:pt idx="32">
                  <c:v>0.20168067226890754</c:v>
                </c:pt>
                <c:pt idx="33">
                  <c:v>0.20539419087136931</c:v>
                </c:pt>
                <c:pt idx="34">
                  <c:v>0.20901639344262296</c:v>
                </c:pt>
                <c:pt idx="35">
                  <c:v>0.21255060728744937</c:v>
                </c:pt>
                <c:pt idx="36">
                  <c:v>0.216</c:v>
                </c:pt>
                <c:pt idx="37">
                  <c:v>0.21936758893280631</c:v>
                </c:pt>
                <c:pt idx="38">
                  <c:v>0.22265625</c:v>
                </c:pt>
                <c:pt idx="39">
                  <c:v>0.22586872586872586</c:v>
                </c:pt>
                <c:pt idx="40">
                  <c:v>0.22900763358778622</c:v>
                </c:pt>
                <c:pt idx="41">
                  <c:v>0.23207547169811321</c:v>
                </c:pt>
                <c:pt idx="42">
                  <c:v>0.23507462686567165</c:v>
                </c:pt>
                <c:pt idx="43">
                  <c:v>0.23800738007380071</c:v>
                </c:pt>
                <c:pt idx="44">
                  <c:v>0.24087591240875914</c:v>
                </c:pt>
                <c:pt idx="45">
                  <c:v>0.24368231046931407</c:v>
                </c:pt>
                <c:pt idx="46">
                  <c:v>0.24642857142857141</c:v>
                </c:pt>
                <c:pt idx="47">
                  <c:v>0.24911660777385161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7D-4733-80AA-35748731C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15392"/>
        <c:axId val="46326144"/>
      </c:scatterChart>
      <c:valAx>
        <c:axId val="463153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326144"/>
        <c:crosses val="autoZero"/>
        <c:crossBetween val="midCat"/>
      </c:valAx>
      <c:valAx>
        <c:axId val="463261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6315392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CritMagn!$B$1</c:f>
          <c:strCache>
            <c:ptCount val="1"/>
            <c:pt idx="0">
              <c:v>Critical / Devastating Magnitude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CritMagn!$B$1</c:f>
              <c:strCache>
                <c:ptCount val="1"/>
                <c:pt idx="0">
                  <c:v>Critical / Devastating Magnitude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CritMagn!$I$11:$I$61</c:f>
              <c:numCache>
                <c:formatCode>#,##0</c:formatCode>
                <c:ptCount val="51"/>
                <c:pt idx="0">
                  <c:v>0</c:v>
                </c:pt>
                <c:pt idx="1">
                  <c:v>2800</c:v>
                </c:pt>
                <c:pt idx="2">
                  <c:v>5600</c:v>
                </c:pt>
                <c:pt idx="3">
                  <c:v>8400</c:v>
                </c:pt>
                <c:pt idx="4">
                  <c:v>11200</c:v>
                </c:pt>
                <c:pt idx="5">
                  <c:v>14000</c:v>
                </c:pt>
                <c:pt idx="6">
                  <c:v>16800</c:v>
                </c:pt>
                <c:pt idx="7">
                  <c:v>19600</c:v>
                </c:pt>
                <c:pt idx="8">
                  <c:v>22400</c:v>
                </c:pt>
                <c:pt idx="9">
                  <c:v>25200</c:v>
                </c:pt>
                <c:pt idx="10">
                  <c:v>28000</c:v>
                </c:pt>
                <c:pt idx="11">
                  <c:v>30800</c:v>
                </c:pt>
                <c:pt idx="12">
                  <c:v>33600</c:v>
                </c:pt>
                <c:pt idx="13">
                  <c:v>36400</c:v>
                </c:pt>
                <c:pt idx="14">
                  <c:v>39200</c:v>
                </c:pt>
                <c:pt idx="15">
                  <c:v>42000</c:v>
                </c:pt>
                <c:pt idx="16">
                  <c:v>44800</c:v>
                </c:pt>
                <c:pt idx="17">
                  <c:v>47600</c:v>
                </c:pt>
                <c:pt idx="18">
                  <c:v>50400</c:v>
                </c:pt>
                <c:pt idx="19">
                  <c:v>53200</c:v>
                </c:pt>
                <c:pt idx="20">
                  <c:v>56000</c:v>
                </c:pt>
                <c:pt idx="21">
                  <c:v>58800</c:v>
                </c:pt>
                <c:pt idx="22">
                  <c:v>61600</c:v>
                </c:pt>
                <c:pt idx="23">
                  <c:v>64400</c:v>
                </c:pt>
                <c:pt idx="24">
                  <c:v>67200</c:v>
                </c:pt>
                <c:pt idx="25">
                  <c:v>70000</c:v>
                </c:pt>
                <c:pt idx="26">
                  <c:v>72800</c:v>
                </c:pt>
                <c:pt idx="27">
                  <c:v>75600</c:v>
                </c:pt>
                <c:pt idx="28">
                  <c:v>78400</c:v>
                </c:pt>
                <c:pt idx="29">
                  <c:v>81200</c:v>
                </c:pt>
                <c:pt idx="30">
                  <c:v>84000</c:v>
                </c:pt>
                <c:pt idx="31">
                  <c:v>86800</c:v>
                </c:pt>
                <c:pt idx="32">
                  <c:v>89600</c:v>
                </c:pt>
                <c:pt idx="33">
                  <c:v>92400</c:v>
                </c:pt>
                <c:pt idx="34">
                  <c:v>95200</c:v>
                </c:pt>
                <c:pt idx="35">
                  <c:v>98000</c:v>
                </c:pt>
                <c:pt idx="36">
                  <c:v>100800</c:v>
                </c:pt>
                <c:pt idx="37">
                  <c:v>103600</c:v>
                </c:pt>
                <c:pt idx="38">
                  <c:v>106400</c:v>
                </c:pt>
                <c:pt idx="39">
                  <c:v>109200</c:v>
                </c:pt>
                <c:pt idx="40">
                  <c:v>112000</c:v>
                </c:pt>
                <c:pt idx="41">
                  <c:v>114800</c:v>
                </c:pt>
                <c:pt idx="42">
                  <c:v>117600</c:v>
                </c:pt>
                <c:pt idx="43">
                  <c:v>120400</c:v>
                </c:pt>
                <c:pt idx="44">
                  <c:v>123200</c:v>
                </c:pt>
                <c:pt idx="45">
                  <c:v>126000</c:v>
                </c:pt>
                <c:pt idx="46">
                  <c:v>128800</c:v>
                </c:pt>
                <c:pt idx="47">
                  <c:v>131600</c:v>
                </c:pt>
                <c:pt idx="48">
                  <c:v>134400</c:v>
                </c:pt>
                <c:pt idx="49">
                  <c:v>137200</c:v>
                </c:pt>
                <c:pt idx="50">
                  <c:v>140000</c:v>
                </c:pt>
              </c:numCache>
            </c:numRef>
          </c:xVal>
          <c:yVal>
            <c:numRef>
              <c:f>CritMagn!$J$11:$J$61</c:f>
              <c:numCache>
                <c:formatCode>0.0\ %</c:formatCode>
                <c:ptCount val="51"/>
                <c:pt idx="0">
                  <c:v>0</c:v>
                </c:pt>
                <c:pt idx="1">
                  <c:v>2.1739130434782608E-2</c:v>
                </c:pt>
                <c:pt idx="2">
                  <c:v>4.2553191489361701E-2</c:v>
                </c:pt>
                <c:pt idx="3">
                  <c:v>6.25E-2</c:v>
                </c:pt>
                <c:pt idx="4">
                  <c:v>8.1632653061224483E-2</c:v>
                </c:pt>
                <c:pt idx="5">
                  <c:v>0.1</c:v>
                </c:pt>
                <c:pt idx="6">
                  <c:v>0.11764705882352941</c:v>
                </c:pt>
                <c:pt idx="7">
                  <c:v>0.13461538461538461</c:v>
                </c:pt>
                <c:pt idx="8">
                  <c:v>0.15094339622641509</c:v>
                </c:pt>
                <c:pt idx="9">
                  <c:v>0.16666666666666666</c:v>
                </c:pt>
                <c:pt idx="10">
                  <c:v>0.18181818181818182</c:v>
                </c:pt>
                <c:pt idx="11">
                  <c:v>0.19642857142857142</c:v>
                </c:pt>
                <c:pt idx="12">
                  <c:v>0.21052631578947367</c:v>
                </c:pt>
                <c:pt idx="13">
                  <c:v>0.22413793103448276</c:v>
                </c:pt>
                <c:pt idx="14">
                  <c:v>0.23728813559322035</c:v>
                </c:pt>
                <c:pt idx="15">
                  <c:v>0.25</c:v>
                </c:pt>
                <c:pt idx="16">
                  <c:v>0.26229508196721313</c:v>
                </c:pt>
                <c:pt idx="17">
                  <c:v>0.27419354838709675</c:v>
                </c:pt>
                <c:pt idx="18">
                  <c:v>0.2857142857142857</c:v>
                </c:pt>
                <c:pt idx="19">
                  <c:v>0.296875</c:v>
                </c:pt>
                <c:pt idx="20">
                  <c:v>0.30769230769230771</c:v>
                </c:pt>
                <c:pt idx="21">
                  <c:v>0.31818181818181818</c:v>
                </c:pt>
                <c:pt idx="22">
                  <c:v>0.32835820895522388</c:v>
                </c:pt>
                <c:pt idx="23">
                  <c:v>0.33823529411764708</c:v>
                </c:pt>
                <c:pt idx="24">
                  <c:v>0.34782608695652173</c:v>
                </c:pt>
                <c:pt idx="25">
                  <c:v>0.35714285714285715</c:v>
                </c:pt>
                <c:pt idx="26">
                  <c:v>0.36619718309859156</c:v>
                </c:pt>
                <c:pt idx="27">
                  <c:v>0.37499999999999994</c:v>
                </c:pt>
                <c:pt idx="28">
                  <c:v>0.38356164383561642</c:v>
                </c:pt>
                <c:pt idx="29">
                  <c:v>0.39189189189189189</c:v>
                </c:pt>
                <c:pt idx="30">
                  <c:v>0.4</c:v>
                </c:pt>
                <c:pt idx="31">
                  <c:v>0.40789473684210525</c:v>
                </c:pt>
                <c:pt idx="32">
                  <c:v>0.41558441558441561</c:v>
                </c:pt>
                <c:pt idx="33">
                  <c:v>0.42307692307692313</c:v>
                </c:pt>
                <c:pt idx="34">
                  <c:v>0.43037974683544311</c:v>
                </c:pt>
                <c:pt idx="35">
                  <c:v>0.4375</c:v>
                </c:pt>
                <c:pt idx="36">
                  <c:v>0.44444444444444442</c:v>
                </c:pt>
                <c:pt idx="37">
                  <c:v>0.45121951219512196</c:v>
                </c:pt>
                <c:pt idx="38">
                  <c:v>0.45783132530120485</c:v>
                </c:pt>
                <c:pt idx="39">
                  <c:v>0.4642857142857143</c:v>
                </c:pt>
                <c:pt idx="40">
                  <c:v>0.47058823529411764</c:v>
                </c:pt>
                <c:pt idx="41">
                  <c:v>0.47674418604651159</c:v>
                </c:pt>
                <c:pt idx="42">
                  <c:v>0.48275862068965525</c:v>
                </c:pt>
                <c:pt idx="43">
                  <c:v>0.48863636363636359</c:v>
                </c:pt>
                <c:pt idx="44">
                  <c:v>0.49438202247191015</c:v>
                </c:pt>
                <c:pt idx="45">
                  <c:v>0.5</c:v>
                </c:pt>
                <c:pt idx="46">
                  <c:v>0.50549450549450547</c:v>
                </c:pt>
                <c:pt idx="47">
                  <c:v>0.51086956521739124</c:v>
                </c:pt>
                <c:pt idx="48">
                  <c:v>0.5161290322580645</c:v>
                </c:pt>
                <c:pt idx="49">
                  <c:v>0.52127659574468088</c:v>
                </c:pt>
                <c:pt idx="50">
                  <c:v>0.52631578947368418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90-4821-BE0F-EE667EFE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5216"/>
        <c:axId val="45947520"/>
      </c:scatterChart>
      <c:valAx>
        <c:axId val="4594521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5947520"/>
        <c:crosses val="autoZero"/>
        <c:crossBetween val="midCat"/>
      </c:valAx>
      <c:valAx>
        <c:axId val="45947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5945216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Finesse!$B$1</c:f>
          <c:strCache>
            <c:ptCount val="1"/>
            <c:pt idx="0">
              <c:v>Finesse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Finesse!$B$1</c:f>
              <c:strCache>
                <c:ptCount val="1"/>
                <c:pt idx="0">
                  <c:v>Finesse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Finesse!$I$11:$I$61</c:f>
              <c:numCache>
                <c:formatCode>#,##0</c:formatCode>
                <c:ptCount val="51"/>
                <c:pt idx="0">
                  <c:v>0</c:v>
                </c:pt>
                <c:pt idx="1">
                  <c:v>3600</c:v>
                </c:pt>
                <c:pt idx="2">
                  <c:v>7200</c:v>
                </c:pt>
                <c:pt idx="3">
                  <c:v>10800</c:v>
                </c:pt>
                <c:pt idx="4">
                  <c:v>14400</c:v>
                </c:pt>
                <c:pt idx="5">
                  <c:v>18000</c:v>
                </c:pt>
                <c:pt idx="6">
                  <c:v>21600</c:v>
                </c:pt>
                <c:pt idx="7">
                  <c:v>25200</c:v>
                </c:pt>
                <c:pt idx="8">
                  <c:v>28800</c:v>
                </c:pt>
                <c:pt idx="9">
                  <c:v>32400</c:v>
                </c:pt>
                <c:pt idx="10">
                  <c:v>36000</c:v>
                </c:pt>
                <c:pt idx="11">
                  <c:v>39600</c:v>
                </c:pt>
                <c:pt idx="12">
                  <c:v>43200</c:v>
                </c:pt>
                <c:pt idx="13">
                  <c:v>46800</c:v>
                </c:pt>
                <c:pt idx="14">
                  <c:v>50400</c:v>
                </c:pt>
                <c:pt idx="15">
                  <c:v>54000</c:v>
                </c:pt>
                <c:pt idx="16">
                  <c:v>57600</c:v>
                </c:pt>
                <c:pt idx="17">
                  <c:v>61200</c:v>
                </c:pt>
                <c:pt idx="18">
                  <c:v>64800</c:v>
                </c:pt>
                <c:pt idx="19">
                  <c:v>68400</c:v>
                </c:pt>
                <c:pt idx="20">
                  <c:v>72000</c:v>
                </c:pt>
                <c:pt idx="21">
                  <c:v>75600</c:v>
                </c:pt>
                <c:pt idx="22">
                  <c:v>79200</c:v>
                </c:pt>
                <c:pt idx="23">
                  <c:v>82800</c:v>
                </c:pt>
                <c:pt idx="24">
                  <c:v>86400</c:v>
                </c:pt>
                <c:pt idx="25">
                  <c:v>90000</c:v>
                </c:pt>
                <c:pt idx="26">
                  <c:v>93600</c:v>
                </c:pt>
                <c:pt idx="27">
                  <c:v>97200</c:v>
                </c:pt>
                <c:pt idx="28">
                  <c:v>100800</c:v>
                </c:pt>
                <c:pt idx="29">
                  <c:v>104400</c:v>
                </c:pt>
                <c:pt idx="30">
                  <c:v>108000</c:v>
                </c:pt>
                <c:pt idx="31">
                  <c:v>111600</c:v>
                </c:pt>
                <c:pt idx="32">
                  <c:v>115200</c:v>
                </c:pt>
                <c:pt idx="33">
                  <c:v>118800</c:v>
                </c:pt>
                <c:pt idx="34">
                  <c:v>122400</c:v>
                </c:pt>
                <c:pt idx="35">
                  <c:v>126000</c:v>
                </c:pt>
                <c:pt idx="36">
                  <c:v>129600</c:v>
                </c:pt>
                <c:pt idx="37">
                  <c:v>133200</c:v>
                </c:pt>
                <c:pt idx="38">
                  <c:v>136800</c:v>
                </c:pt>
                <c:pt idx="39">
                  <c:v>140400</c:v>
                </c:pt>
                <c:pt idx="40">
                  <c:v>144000</c:v>
                </c:pt>
                <c:pt idx="41">
                  <c:v>147600</c:v>
                </c:pt>
                <c:pt idx="42">
                  <c:v>151200</c:v>
                </c:pt>
                <c:pt idx="43">
                  <c:v>154800</c:v>
                </c:pt>
                <c:pt idx="44">
                  <c:v>158400</c:v>
                </c:pt>
                <c:pt idx="45">
                  <c:v>162000</c:v>
                </c:pt>
                <c:pt idx="46">
                  <c:v>165600</c:v>
                </c:pt>
                <c:pt idx="47">
                  <c:v>169200</c:v>
                </c:pt>
                <c:pt idx="48">
                  <c:v>172800</c:v>
                </c:pt>
                <c:pt idx="49">
                  <c:v>176400</c:v>
                </c:pt>
                <c:pt idx="50">
                  <c:v>180000</c:v>
                </c:pt>
              </c:numCache>
            </c:numRef>
          </c:xVal>
          <c:yVal>
            <c:numRef>
              <c:f>Finesse!$J$11:$J$61</c:f>
              <c:numCache>
                <c:formatCode>0.0\ %</c:formatCode>
                <c:ptCount val="51"/>
                <c:pt idx="0">
                  <c:v>0</c:v>
                </c:pt>
                <c:pt idx="1">
                  <c:v>1.1538461538461525E-2</c:v>
                </c:pt>
                <c:pt idx="2">
                  <c:v>2.2602739726027374E-2</c:v>
                </c:pt>
                <c:pt idx="3">
                  <c:v>3.3221476510067079E-2</c:v>
                </c:pt>
                <c:pt idx="4">
                  <c:v>4.3421052631578902E-2</c:v>
                </c:pt>
                <c:pt idx="5">
                  <c:v>5.3225806451612845E-2</c:v>
                </c:pt>
                <c:pt idx="6">
                  <c:v>6.2658227848101197E-2</c:v>
                </c:pt>
                <c:pt idx="7">
                  <c:v>7.1739130434782541E-2</c:v>
                </c:pt>
                <c:pt idx="8">
                  <c:v>8.0487804878048699E-2</c:v>
                </c:pt>
                <c:pt idx="9">
                  <c:v>8.8922155688622675E-2</c:v>
                </c:pt>
                <c:pt idx="10">
                  <c:v>9.705882352941167E-2</c:v>
                </c:pt>
                <c:pt idx="11">
                  <c:v>0.10491329479768777</c:v>
                </c:pt>
                <c:pt idx="12">
                  <c:v>0.11249999999999989</c:v>
                </c:pt>
                <c:pt idx="13">
                  <c:v>0.11983240223463676</c:v>
                </c:pt>
                <c:pt idx="14">
                  <c:v>0.12692307692307681</c:v>
                </c:pt>
                <c:pt idx="15">
                  <c:v>0.13378378378378369</c:v>
                </c:pt>
                <c:pt idx="16">
                  <c:v>0.14042553191489349</c:v>
                </c:pt>
                <c:pt idx="17">
                  <c:v>0.14685863874345537</c:v>
                </c:pt>
                <c:pt idx="18">
                  <c:v>0.15309278350515454</c:v>
                </c:pt>
                <c:pt idx="19">
                  <c:v>0.15913705583756332</c:v>
                </c:pt>
                <c:pt idx="20">
                  <c:v>0.16499999999999987</c:v>
                </c:pt>
                <c:pt idx="21">
                  <c:v>0.17068965517241369</c:v>
                </c:pt>
                <c:pt idx="22">
                  <c:v>0.17621359223300959</c:v>
                </c:pt>
                <c:pt idx="23">
                  <c:v>0.18157894736842092</c:v>
                </c:pt>
                <c:pt idx="24">
                  <c:v>0.18679245283018853</c:v>
                </c:pt>
                <c:pt idx="25">
                  <c:v>0.19186046511627894</c:v>
                </c:pt>
                <c:pt idx="26">
                  <c:v>0.19678899082568793</c:v>
                </c:pt>
                <c:pt idx="27">
                  <c:v>0.20158371040723969</c:v>
                </c:pt>
                <c:pt idx="28">
                  <c:v>0.20624999999999985</c:v>
                </c:pt>
                <c:pt idx="29">
                  <c:v>0.21079295154185007</c:v>
                </c:pt>
                <c:pt idx="30">
                  <c:v>0.21521739130434769</c:v>
                </c:pt>
                <c:pt idx="31">
                  <c:v>0.21952789699570802</c:v>
                </c:pt>
                <c:pt idx="32">
                  <c:v>0.22372881355932189</c:v>
                </c:pt>
                <c:pt idx="33">
                  <c:v>0.22782426778242659</c:v>
                </c:pt>
                <c:pt idx="34">
                  <c:v>0.23181818181818167</c:v>
                </c:pt>
                <c:pt idx="35">
                  <c:v>0.23571428571428554</c:v>
                </c:pt>
                <c:pt idx="36">
                  <c:v>0.23951612903225794</c:v>
                </c:pt>
                <c:pt idx="37">
                  <c:v>0.24322709163346598</c:v>
                </c:pt>
                <c:pt idx="38">
                  <c:v>0.24685039370078724</c:v>
                </c:pt>
                <c:pt idx="39">
                  <c:v>0.25038910505836559</c:v>
                </c:pt>
                <c:pt idx="40">
                  <c:v>0.25384615384615372</c:v>
                </c:pt>
                <c:pt idx="41">
                  <c:v>0.25722433460076027</c:v>
                </c:pt>
                <c:pt idx="42">
                  <c:v>0.26052631578947355</c:v>
                </c:pt>
                <c:pt idx="43">
                  <c:v>0.26375464684014854</c:v>
                </c:pt>
                <c:pt idx="44">
                  <c:v>0.26691176470588224</c:v>
                </c:pt>
                <c:pt idx="45">
                  <c:v>0.26999999999999985</c:v>
                </c:pt>
                <c:pt idx="46">
                  <c:v>0.27302158273381277</c:v>
                </c:pt>
                <c:pt idx="47">
                  <c:v>0.27597864768683256</c:v>
                </c:pt>
                <c:pt idx="48">
                  <c:v>0.27887323943661951</c:v>
                </c:pt>
                <c:pt idx="49">
                  <c:v>0.28170731707317059</c:v>
                </c:pt>
                <c:pt idx="50">
                  <c:v>0.2844827586206895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A7-4463-92D5-9BC3F2A1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85792"/>
        <c:axId val="45988096"/>
      </c:scatterChart>
      <c:valAx>
        <c:axId val="459857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5988096"/>
        <c:crosses val="autoZero"/>
        <c:crossBetween val="midCat"/>
      </c:valAx>
      <c:valAx>
        <c:axId val="459880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5985792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Resistance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Resistance!$K$10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Resistance!$I$11:$I$61</c:f>
              <c:numCache>
                <c:formatCode>#,##0</c:formatCode>
                <c:ptCount val="51"/>
                <c:pt idx="0">
                  <c:v>0</c:v>
                </c:pt>
                <c:pt idx="1">
                  <c:v>3600</c:v>
                </c:pt>
                <c:pt idx="2">
                  <c:v>7200</c:v>
                </c:pt>
                <c:pt idx="3">
                  <c:v>10800</c:v>
                </c:pt>
                <c:pt idx="4">
                  <c:v>14400</c:v>
                </c:pt>
                <c:pt idx="5">
                  <c:v>18000</c:v>
                </c:pt>
                <c:pt idx="6">
                  <c:v>21600</c:v>
                </c:pt>
                <c:pt idx="7">
                  <c:v>25200</c:v>
                </c:pt>
                <c:pt idx="8">
                  <c:v>28800</c:v>
                </c:pt>
                <c:pt idx="9">
                  <c:v>32400</c:v>
                </c:pt>
                <c:pt idx="10">
                  <c:v>36000</c:v>
                </c:pt>
                <c:pt idx="11">
                  <c:v>39600</c:v>
                </c:pt>
                <c:pt idx="12">
                  <c:v>43200</c:v>
                </c:pt>
                <c:pt idx="13">
                  <c:v>46800</c:v>
                </c:pt>
                <c:pt idx="14">
                  <c:v>50400</c:v>
                </c:pt>
                <c:pt idx="15">
                  <c:v>54000</c:v>
                </c:pt>
                <c:pt idx="16">
                  <c:v>57600</c:v>
                </c:pt>
                <c:pt idx="17">
                  <c:v>61200</c:v>
                </c:pt>
                <c:pt idx="18">
                  <c:v>64800</c:v>
                </c:pt>
                <c:pt idx="19">
                  <c:v>68400</c:v>
                </c:pt>
                <c:pt idx="20">
                  <c:v>72000</c:v>
                </c:pt>
                <c:pt idx="21">
                  <c:v>75600</c:v>
                </c:pt>
                <c:pt idx="22">
                  <c:v>79200</c:v>
                </c:pt>
                <c:pt idx="23">
                  <c:v>82800</c:v>
                </c:pt>
                <c:pt idx="24">
                  <c:v>86400</c:v>
                </c:pt>
                <c:pt idx="25">
                  <c:v>90000</c:v>
                </c:pt>
                <c:pt idx="26">
                  <c:v>93600</c:v>
                </c:pt>
                <c:pt idx="27">
                  <c:v>97200</c:v>
                </c:pt>
                <c:pt idx="28">
                  <c:v>100800</c:v>
                </c:pt>
                <c:pt idx="29">
                  <c:v>104400</c:v>
                </c:pt>
                <c:pt idx="30">
                  <c:v>108000</c:v>
                </c:pt>
                <c:pt idx="31">
                  <c:v>111600</c:v>
                </c:pt>
                <c:pt idx="32">
                  <c:v>115200</c:v>
                </c:pt>
                <c:pt idx="33">
                  <c:v>118800</c:v>
                </c:pt>
                <c:pt idx="34">
                  <c:v>122400</c:v>
                </c:pt>
                <c:pt idx="35">
                  <c:v>126000</c:v>
                </c:pt>
                <c:pt idx="36">
                  <c:v>129600</c:v>
                </c:pt>
                <c:pt idx="37">
                  <c:v>133200</c:v>
                </c:pt>
                <c:pt idx="38">
                  <c:v>136800</c:v>
                </c:pt>
                <c:pt idx="39">
                  <c:v>140400</c:v>
                </c:pt>
                <c:pt idx="40">
                  <c:v>144000</c:v>
                </c:pt>
                <c:pt idx="41">
                  <c:v>147600</c:v>
                </c:pt>
                <c:pt idx="42">
                  <c:v>151200</c:v>
                </c:pt>
                <c:pt idx="43">
                  <c:v>154800</c:v>
                </c:pt>
                <c:pt idx="44">
                  <c:v>158400</c:v>
                </c:pt>
                <c:pt idx="45">
                  <c:v>162000</c:v>
                </c:pt>
                <c:pt idx="46">
                  <c:v>165600</c:v>
                </c:pt>
                <c:pt idx="47">
                  <c:v>169200</c:v>
                </c:pt>
                <c:pt idx="48">
                  <c:v>172800</c:v>
                </c:pt>
                <c:pt idx="49">
                  <c:v>176400</c:v>
                </c:pt>
                <c:pt idx="50">
                  <c:v>180000</c:v>
                </c:pt>
              </c:numCache>
            </c:numRef>
          </c:xVal>
          <c:yVal>
            <c:numRef>
              <c:f>Resistance!$K$11:$K$61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2.876318312559919E-3</c:v>
                </c:pt>
                <c:pt idx="4">
                  <c:v>2.5304592314901557E-2</c:v>
                </c:pt>
                <c:pt idx="5">
                  <c:v>4.6746104491292323E-2</c:v>
                </c:pt>
                <c:pt idx="6">
                  <c:v>6.7264573991031293E-2</c:v>
                </c:pt>
                <c:pt idx="7">
                  <c:v>8.6918349429323846E-2</c:v>
                </c:pt>
                <c:pt idx="8">
                  <c:v>0.10576096302665507</c:v>
                </c:pt>
                <c:pt idx="9">
                  <c:v>0.12384161752316747</c:v>
                </c:pt>
                <c:pt idx="10">
                  <c:v>0.14120561519405431</c:v>
                </c:pt>
                <c:pt idx="11">
                  <c:v>0.15789473684210506</c:v>
                </c:pt>
                <c:pt idx="12">
                  <c:v>0.1739475774424144</c:v>
                </c:pt>
                <c:pt idx="13">
                  <c:v>0.1893998441153544</c:v>
                </c:pt>
                <c:pt idx="14">
                  <c:v>0.20428462127008393</c:v>
                </c:pt>
                <c:pt idx="15">
                  <c:v>0.21863260706235887</c:v>
                </c:pt>
                <c:pt idx="16">
                  <c:v>0.23247232472324694</c:v>
                </c:pt>
                <c:pt idx="17">
                  <c:v>0.2458303118201593</c:v>
                </c:pt>
                <c:pt idx="18">
                  <c:v>0.25873129009265833</c:v>
                </c:pt>
                <c:pt idx="19">
                  <c:v>0.27119831814996465</c:v>
                </c:pt>
                <c:pt idx="20">
                  <c:v>0.28325292901447247</c:v>
                </c:pt>
                <c:pt idx="21">
                  <c:v>0.29491525423728782</c:v>
                </c:pt>
                <c:pt idx="22">
                  <c:v>0.30620413609072683</c:v>
                </c:pt>
                <c:pt idx="23">
                  <c:v>0.3171372291529872</c:v>
                </c:pt>
                <c:pt idx="24">
                  <c:v>0.32773109243697446</c:v>
                </c:pt>
                <c:pt idx="25">
                  <c:v>0.33800127307447453</c:v>
                </c:pt>
                <c:pt idx="26">
                  <c:v>0.34796238244514072</c:v>
                </c:pt>
                <c:pt idx="27">
                  <c:v>0.35762816553428012</c:v>
                </c:pt>
                <c:pt idx="28">
                  <c:v>0.36701156421180731</c:v>
                </c:pt>
                <c:pt idx="29">
                  <c:v>0.37612477504499059</c:v>
                </c:pt>
                <c:pt idx="30">
                  <c:v>0.3849793021880541</c:v>
                </c:pt>
                <c:pt idx="31">
                  <c:v>0.39358600583090342</c:v>
                </c:pt>
                <c:pt idx="32">
                  <c:v>0.40195514663599741</c:v>
                </c:pt>
                <c:pt idx="33">
                  <c:v>0.41009642654566048</c:v>
                </c:pt>
                <c:pt idx="34">
                  <c:v>0.41801902630106286</c:v>
                </c:pt>
                <c:pt idx="35">
                  <c:v>0.42573163997791236</c:v>
                </c:pt>
                <c:pt idx="36">
                  <c:v>0.43324250681198873</c:v>
                </c:pt>
                <c:pt idx="37">
                  <c:v>0.44055944055944024</c:v>
                </c:pt>
                <c:pt idx="38">
                  <c:v>0.44768985661178934</c:v>
                </c:pt>
                <c:pt idx="39">
                  <c:v>0.45464079706345006</c:v>
                </c:pt>
                <c:pt idx="40">
                  <c:v>0.46141895390989085</c:v>
                </c:pt>
                <c:pt idx="41">
                  <c:v>0.46803069053708402</c:v>
                </c:pt>
                <c:pt idx="42">
                  <c:v>0.47448206164729628</c:v>
                </c:pt>
                <c:pt idx="43">
                  <c:v>0.48077883175237107</c:v>
                </c:pt>
                <c:pt idx="44">
                  <c:v>0.48692649235323093</c:v>
                </c:pt>
                <c:pt idx="45">
                  <c:v>0.4929302779132127</c:v>
                </c:pt>
                <c:pt idx="46">
                  <c:v>0.49879518072289114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4C-48E2-B22B-72C84B99A5C0}"/>
            </c:ext>
          </c:extLst>
        </c:ser>
        <c:ser>
          <c:idx val="1"/>
          <c:order val="1"/>
          <c:tx>
            <c:strRef>
              <c:f>Resistance!$J$10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Resistance!$I$11:$I$61</c:f>
              <c:numCache>
                <c:formatCode>#,##0</c:formatCode>
                <c:ptCount val="51"/>
                <c:pt idx="0">
                  <c:v>0</c:v>
                </c:pt>
                <c:pt idx="1">
                  <c:v>3600</c:v>
                </c:pt>
                <c:pt idx="2">
                  <c:v>7200</c:v>
                </c:pt>
                <c:pt idx="3">
                  <c:v>10800</c:v>
                </c:pt>
                <c:pt idx="4">
                  <c:v>14400</c:v>
                </c:pt>
                <c:pt idx="5">
                  <c:v>18000</c:v>
                </c:pt>
                <c:pt idx="6">
                  <c:v>21600</c:v>
                </c:pt>
                <c:pt idx="7">
                  <c:v>25200</c:v>
                </c:pt>
                <c:pt idx="8">
                  <c:v>28800</c:v>
                </c:pt>
                <c:pt idx="9">
                  <c:v>32400</c:v>
                </c:pt>
                <c:pt idx="10">
                  <c:v>36000</c:v>
                </c:pt>
                <c:pt idx="11">
                  <c:v>39600</c:v>
                </c:pt>
                <c:pt idx="12">
                  <c:v>43200</c:v>
                </c:pt>
                <c:pt idx="13">
                  <c:v>46800</c:v>
                </c:pt>
                <c:pt idx="14">
                  <c:v>50400</c:v>
                </c:pt>
                <c:pt idx="15">
                  <c:v>54000</c:v>
                </c:pt>
                <c:pt idx="16">
                  <c:v>57600</c:v>
                </c:pt>
                <c:pt idx="17">
                  <c:v>61200</c:v>
                </c:pt>
                <c:pt idx="18">
                  <c:v>64800</c:v>
                </c:pt>
                <c:pt idx="19">
                  <c:v>68400</c:v>
                </c:pt>
                <c:pt idx="20">
                  <c:v>72000</c:v>
                </c:pt>
                <c:pt idx="21">
                  <c:v>75600</c:v>
                </c:pt>
                <c:pt idx="22">
                  <c:v>79200</c:v>
                </c:pt>
                <c:pt idx="23">
                  <c:v>82800</c:v>
                </c:pt>
                <c:pt idx="24">
                  <c:v>86400</c:v>
                </c:pt>
                <c:pt idx="25">
                  <c:v>90000</c:v>
                </c:pt>
                <c:pt idx="26">
                  <c:v>93600</c:v>
                </c:pt>
                <c:pt idx="27">
                  <c:v>97200</c:v>
                </c:pt>
                <c:pt idx="28">
                  <c:v>100800</c:v>
                </c:pt>
                <c:pt idx="29">
                  <c:v>104400</c:v>
                </c:pt>
                <c:pt idx="30">
                  <c:v>108000</c:v>
                </c:pt>
                <c:pt idx="31">
                  <c:v>111600</c:v>
                </c:pt>
                <c:pt idx="32">
                  <c:v>115200</c:v>
                </c:pt>
                <c:pt idx="33">
                  <c:v>118800</c:v>
                </c:pt>
                <c:pt idx="34">
                  <c:v>122400</c:v>
                </c:pt>
                <c:pt idx="35">
                  <c:v>126000</c:v>
                </c:pt>
                <c:pt idx="36">
                  <c:v>129600</c:v>
                </c:pt>
                <c:pt idx="37">
                  <c:v>133200</c:v>
                </c:pt>
                <c:pt idx="38">
                  <c:v>136800</c:v>
                </c:pt>
                <c:pt idx="39">
                  <c:v>140400</c:v>
                </c:pt>
                <c:pt idx="40">
                  <c:v>144000</c:v>
                </c:pt>
                <c:pt idx="41">
                  <c:v>147600</c:v>
                </c:pt>
                <c:pt idx="42">
                  <c:v>151200</c:v>
                </c:pt>
                <c:pt idx="43">
                  <c:v>154800</c:v>
                </c:pt>
                <c:pt idx="44">
                  <c:v>158400</c:v>
                </c:pt>
                <c:pt idx="45">
                  <c:v>162000</c:v>
                </c:pt>
                <c:pt idx="46">
                  <c:v>165600</c:v>
                </c:pt>
                <c:pt idx="47">
                  <c:v>169200</c:v>
                </c:pt>
                <c:pt idx="48">
                  <c:v>172800</c:v>
                </c:pt>
                <c:pt idx="49">
                  <c:v>176400</c:v>
                </c:pt>
                <c:pt idx="50">
                  <c:v>180000</c:v>
                </c:pt>
              </c:numCache>
            </c:numRef>
          </c:xVal>
          <c:yVal>
            <c:numRef>
              <c:f>Resistance!$J$11:$J$61</c:f>
              <c:numCache>
                <c:formatCode>0.0\ %</c:formatCode>
                <c:ptCount val="51"/>
                <c:pt idx="0">
                  <c:v>0</c:v>
                </c:pt>
                <c:pt idx="1">
                  <c:v>2.2556390977443577E-2</c:v>
                </c:pt>
                <c:pt idx="2">
                  <c:v>4.4117647058823463E-2</c:v>
                </c:pt>
                <c:pt idx="3">
                  <c:v>6.4748201438848837E-2</c:v>
                </c:pt>
                <c:pt idx="4">
                  <c:v>8.4507042253521014E-2</c:v>
                </c:pt>
                <c:pt idx="5">
                  <c:v>0.10344827586206883</c:v>
                </c:pt>
                <c:pt idx="6">
                  <c:v>0.12162162162162148</c:v>
                </c:pt>
                <c:pt idx="7">
                  <c:v>0.13907284768211903</c:v>
                </c:pt>
                <c:pt idx="8">
                  <c:v>0.15584415584415565</c:v>
                </c:pt>
                <c:pt idx="9">
                  <c:v>0.17197452229299343</c:v>
                </c:pt>
                <c:pt idx="10">
                  <c:v>0.18749999999999975</c:v>
                </c:pt>
                <c:pt idx="11">
                  <c:v>0.20245398773006112</c:v>
                </c:pt>
                <c:pt idx="12">
                  <c:v>0.21686746987951783</c:v>
                </c:pt>
                <c:pt idx="13">
                  <c:v>0.2307692307692305</c:v>
                </c:pt>
                <c:pt idx="14">
                  <c:v>0.24418604651162762</c:v>
                </c:pt>
                <c:pt idx="15">
                  <c:v>0.25714285714285684</c:v>
                </c:pt>
                <c:pt idx="16">
                  <c:v>0.26966292134831432</c:v>
                </c:pt>
                <c:pt idx="17">
                  <c:v>0.28176795580110464</c:v>
                </c:pt>
                <c:pt idx="18">
                  <c:v>0.29347826086956491</c:v>
                </c:pt>
                <c:pt idx="19">
                  <c:v>0.30481283422459859</c:v>
                </c:pt>
                <c:pt idx="20">
                  <c:v>0.31578947368421018</c:v>
                </c:pt>
                <c:pt idx="21">
                  <c:v>0.32642487046632096</c:v>
                </c:pt>
                <c:pt idx="22">
                  <c:v>0.33673469387755073</c:v>
                </c:pt>
                <c:pt idx="23">
                  <c:v>0.34673366834170816</c:v>
                </c:pt>
                <c:pt idx="24">
                  <c:v>0.35643564356435614</c:v>
                </c:pt>
                <c:pt idx="25">
                  <c:v>0.36585365853658502</c:v>
                </c:pt>
                <c:pt idx="26">
                  <c:v>0.37499999999999967</c:v>
                </c:pt>
                <c:pt idx="27">
                  <c:v>0.38388625592417019</c:v>
                </c:pt>
                <c:pt idx="28">
                  <c:v>0.39252336448598091</c:v>
                </c:pt>
                <c:pt idx="29">
                  <c:v>0.40092165898617482</c:v>
                </c:pt>
                <c:pt idx="30">
                  <c:v>0.40909090909090878</c:v>
                </c:pt>
                <c:pt idx="31">
                  <c:v>0.41704035874439421</c:v>
                </c:pt>
                <c:pt idx="32">
                  <c:v>0.42477876106194651</c:v>
                </c:pt>
                <c:pt idx="33">
                  <c:v>0.43231441048034902</c:v>
                </c:pt>
                <c:pt idx="34">
                  <c:v>0.43965517241379276</c:v>
                </c:pt>
                <c:pt idx="35">
                  <c:v>0.44680851063829752</c:v>
                </c:pt>
                <c:pt idx="36">
                  <c:v>0.45378151260504163</c:v>
                </c:pt>
                <c:pt idx="37">
                  <c:v>0.46058091286307018</c:v>
                </c:pt>
                <c:pt idx="38">
                  <c:v>0.46721311475409799</c:v>
                </c:pt>
                <c:pt idx="39">
                  <c:v>0.47368421052631549</c:v>
                </c:pt>
                <c:pt idx="40">
                  <c:v>0.47999999999999965</c:v>
                </c:pt>
                <c:pt idx="41">
                  <c:v>0.48616600790513798</c:v>
                </c:pt>
                <c:pt idx="42">
                  <c:v>0.49218749999999961</c:v>
                </c:pt>
                <c:pt idx="43">
                  <c:v>0.49806949806949763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4C-48E2-B22B-72C84B99A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04128"/>
        <c:axId val="46714880"/>
      </c:scatterChart>
      <c:valAx>
        <c:axId val="4670412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714880"/>
        <c:crosses val="autoZero"/>
        <c:crossBetween val="midCat"/>
      </c:valAx>
      <c:valAx>
        <c:axId val="46714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6704128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CritDef!$B$1</c:f>
          <c:strCache>
            <c:ptCount val="1"/>
            <c:pt idx="0">
              <c:v>Critical Defence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CritDef!$B$1</c:f>
              <c:strCache>
                <c:ptCount val="1"/>
                <c:pt idx="0">
                  <c:v>Critical Defence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CritDef!$I$11:$I$61</c:f>
              <c:numCache>
                <c:formatCode>#,##0</c:formatCode>
                <c:ptCount val="51"/>
                <c:pt idx="0">
                  <c:v>0</c:v>
                </c:pt>
                <c:pt idx="1">
                  <c:v>1780</c:v>
                </c:pt>
                <c:pt idx="2">
                  <c:v>3560</c:v>
                </c:pt>
                <c:pt idx="3">
                  <c:v>5340</c:v>
                </c:pt>
                <c:pt idx="4">
                  <c:v>7120</c:v>
                </c:pt>
                <c:pt idx="5">
                  <c:v>8900</c:v>
                </c:pt>
                <c:pt idx="6">
                  <c:v>10680</c:v>
                </c:pt>
                <c:pt idx="7">
                  <c:v>12460</c:v>
                </c:pt>
                <c:pt idx="8">
                  <c:v>14240</c:v>
                </c:pt>
                <c:pt idx="9">
                  <c:v>16020</c:v>
                </c:pt>
                <c:pt idx="10">
                  <c:v>17800</c:v>
                </c:pt>
                <c:pt idx="11">
                  <c:v>19580</c:v>
                </c:pt>
                <c:pt idx="12">
                  <c:v>21360</c:v>
                </c:pt>
                <c:pt idx="13">
                  <c:v>23140</c:v>
                </c:pt>
                <c:pt idx="14">
                  <c:v>24920</c:v>
                </c:pt>
                <c:pt idx="15">
                  <c:v>26700</c:v>
                </c:pt>
                <c:pt idx="16">
                  <c:v>28480</c:v>
                </c:pt>
                <c:pt idx="17">
                  <c:v>30260</c:v>
                </c:pt>
                <c:pt idx="18">
                  <c:v>32040</c:v>
                </c:pt>
                <c:pt idx="19">
                  <c:v>33820</c:v>
                </c:pt>
                <c:pt idx="20">
                  <c:v>35600</c:v>
                </c:pt>
                <c:pt idx="21">
                  <c:v>37380</c:v>
                </c:pt>
                <c:pt idx="22">
                  <c:v>39160</c:v>
                </c:pt>
                <c:pt idx="23">
                  <c:v>40940</c:v>
                </c:pt>
                <c:pt idx="24">
                  <c:v>42720</c:v>
                </c:pt>
                <c:pt idx="25">
                  <c:v>44500</c:v>
                </c:pt>
                <c:pt idx="26">
                  <c:v>46280</c:v>
                </c:pt>
                <c:pt idx="27">
                  <c:v>48060</c:v>
                </c:pt>
                <c:pt idx="28">
                  <c:v>49840</c:v>
                </c:pt>
                <c:pt idx="29">
                  <c:v>51620</c:v>
                </c:pt>
                <c:pt idx="30">
                  <c:v>53400</c:v>
                </c:pt>
                <c:pt idx="31">
                  <c:v>55180</c:v>
                </c:pt>
                <c:pt idx="32">
                  <c:v>56960</c:v>
                </c:pt>
                <c:pt idx="33">
                  <c:v>58740</c:v>
                </c:pt>
                <c:pt idx="34">
                  <c:v>60520</c:v>
                </c:pt>
                <c:pt idx="35">
                  <c:v>62300</c:v>
                </c:pt>
                <c:pt idx="36">
                  <c:v>64080</c:v>
                </c:pt>
                <c:pt idx="37">
                  <c:v>65860</c:v>
                </c:pt>
                <c:pt idx="38">
                  <c:v>67640</c:v>
                </c:pt>
                <c:pt idx="39">
                  <c:v>69420</c:v>
                </c:pt>
                <c:pt idx="40">
                  <c:v>71200</c:v>
                </c:pt>
                <c:pt idx="41">
                  <c:v>72980</c:v>
                </c:pt>
                <c:pt idx="42">
                  <c:v>74760</c:v>
                </c:pt>
                <c:pt idx="43">
                  <c:v>76540</c:v>
                </c:pt>
                <c:pt idx="44">
                  <c:v>78320</c:v>
                </c:pt>
                <c:pt idx="45">
                  <c:v>80100</c:v>
                </c:pt>
                <c:pt idx="46">
                  <c:v>81880</c:v>
                </c:pt>
                <c:pt idx="47">
                  <c:v>83660</c:v>
                </c:pt>
                <c:pt idx="48">
                  <c:v>85440</c:v>
                </c:pt>
                <c:pt idx="49">
                  <c:v>87220</c:v>
                </c:pt>
                <c:pt idx="50">
                  <c:v>89000</c:v>
                </c:pt>
              </c:numCache>
            </c:numRef>
          </c:xVal>
          <c:yVal>
            <c:numRef>
              <c:f>CritDef!$J$11:$J$61</c:f>
              <c:numCache>
                <c:formatCode>0.0\ %</c:formatCode>
                <c:ptCount val="51"/>
                <c:pt idx="0">
                  <c:v>0</c:v>
                </c:pt>
                <c:pt idx="1">
                  <c:v>4.0657834627683929E-2</c:v>
                </c:pt>
                <c:pt idx="2">
                  <c:v>7.8138718173836802E-2</c:v>
                </c:pt>
                <c:pt idx="3">
                  <c:v>0.11280101394169847</c:v>
                </c:pt>
                <c:pt idx="4">
                  <c:v>0.14495114006514676</c:v>
                </c:pt>
                <c:pt idx="5">
                  <c:v>0.17485265225933222</c:v>
                </c:pt>
                <c:pt idx="6">
                  <c:v>0.20273348519362208</c:v>
                </c:pt>
                <c:pt idx="7">
                  <c:v>0.22879177377892057</c:v>
                </c:pt>
                <c:pt idx="8">
                  <c:v>0.25320056899004295</c:v>
                </c:pt>
                <c:pt idx="9">
                  <c:v>0.27611168562564664</c:v>
                </c:pt>
                <c:pt idx="10">
                  <c:v>0.29765886287625448</c:v>
                </c:pt>
                <c:pt idx="11">
                  <c:v>0.31796037674569699</c:v>
                </c:pt>
                <c:pt idx="12">
                  <c:v>0.33712121212121243</c:v>
                </c:pt>
                <c:pt idx="13">
                  <c:v>0.35523487872275133</c:v>
                </c:pt>
                <c:pt idx="14">
                  <c:v>0.37238493723849408</c:v>
                </c:pt>
                <c:pt idx="15">
                  <c:v>0.38864628820960734</c:v>
                </c:pt>
                <c:pt idx="16">
                  <c:v>0.40408626560726479</c:v>
                </c:pt>
                <c:pt idx="17">
                  <c:v>0.41876556877940802</c:v>
                </c:pt>
                <c:pt idx="18">
                  <c:v>0.43273905996758538</c:v>
                </c:pt>
                <c:pt idx="19">
                  <c:v>0.44605644948562417</c:v>
                </c:pt>
                <c:pt idx="20">
                  <c:v>0.4587628865979384</c:v>
                </c:pt>
                <c:pt idx="21">
                  <c:v>0.47089947089947126</c:v>
                </c:pt>
                <c:pt idx="22">
                  <c:v>0.48250369640216895</c:v>
                </c:pt>
                <c:pt idx="23">
                  <c:v>0.49360983843742501</c:v>
                </c:pt>
                <c:pt idx="24">
                  <c:v>0.5042492917847029</c:v>
                </c:pt>
                <c:pt idx="25">
                  <c:v>0.51445086705202347</c:v>
                </c:pt>
                <c:pt idx="26">
                  <c:v>0.52424105120072528</c:v>
                </c:pt>
                <c:pt idx="27">
                  <c:v>0.53364423717521692</c:v>
                </c:pt>
                <c:pt idx="28">
                  <c:v>0.54268292682926866</c:v>
                </c:pt>
                <c:pt idx="29">
                  <c:v>0.55137791070284159</c:v>
                </c:pt>
                <c:pt idx="30">
                  <c:v>0.55974842767295629</c:v>
                </c:pt>
                <c:pt idx="31">
                  <c:v>0.56781230705906593</c:v>
                </c:pt>
                <c:pt idx="32">
                  <c:v>0.57558609539207795</c:v>
                </c:pt>
                <c:pt idx="33">
                  <c:v>0.58308516974389557</c:v>
                </c:pt>
                <c:pt idx="34">
                  <c:v>0.59032383925087817</c:v>
                </c:pt>
                <c:pt idx="35">
                  <c:v>0.5973154362416111</c:v>
                </c:pt>
                <c:pt idx="36">
                  <c:v>0.60407239819004555</c:v>
                </c:pt>
                <c:pt idx="37">
                  <c:v>0.61060634155386651</c:v>
                </c:pt>
                <c:pt idx="38">
                  <c:v>0.61692812842028488</c:v>
                </c:pt>
                <c:pt idx="39">
                  <c:v>0.62304792676359755</c:v>
                </c:pt>
                <c:pt idx="40">
                  <c:v>0.62897526501766809</c:v>
                </c:pt>
                <c:pt idx="41">
                  <c:v>0.63471908157940538</c:v>
                </c:pt>
                <c:pt idx="42">
                  <c:v>0.64028776978417301</c:v>
                </c:pt>
                <c:pt idx="43">
                  <c:v>0.64568921882908747</c:v>
                </c:pt>
                <c:pt idx="44">
                  <c:v>0.6509308510638302</c:v>
                </c:pt>
                <c:pt idx="45">
                  <c:v>0.65601965601965628</c:v>
                </c:pt>
                <c:pt idx="46">
                  <c:v>0.66096222150468231</c:v>
                </c:pt>
                <c:pt idx="47">
                  <c:v>0.66576476205634283</c:v>
                </c:pt>
                <c:pt idx="48">
                  <c:v>0.67043314500941653</c:v>
                </c:pt>
                <c:pt idx="49">
                  <c:v>0.67497291440953444</c:v>
                </c:pt>
                <c:pt idx="50">
                  <c:v>0.67938931297709948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00-4E4A-8C98-E040F4DF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25376"/>
        <c:axId val="46191360"/>
      </c:scatterChart>
      <c:valAx>
        <c:axId val="46725376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191360"/>
        <c:crosses val="autoZero"/>
        <c:crossBetween val="midCat"/>
      </c:valAx>
      <c:valAx>
        <c:axId val="46191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6725376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IncHeal!$B$1</c:f>
          <c:strCache>
            <c:ptCount val="1"/>
            <c:pt idx="0">
              <c:v>Incoming Healing</c:v>
            </c:pt>
          </c:strCache>
        </c:strRef>
      </c:tx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IncHeal!$B$1</c:f>
              <c:strCache>
                <c:ptCount val="1"/>
                <c:pt idx="0">
                  <c:v>Incoming Healing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IncHeal!$I$11:$I$61</c:f>
              <c:numCache>
                <c:formatCode>#,##0</c:formatCode>
                <c:ptCount val="51"/>
                <c:pt idx="0">
                  <c:v>0</c:v>
                </c:pt>
                <c:pt idx="1">
                  <c:v>1440</c:v>
                </c:pt>
                <c:pt idx="2">
                  <c:v>2880</c:v>
                </c:pt>
                <c:pt idx="3">
                  <c:v>4320</c:v>
                </c:pt>
                <c:pt idx="4">
                  <c:v>5760</c:v>
                </c:pt>
                <c:pt idx="5">
                  <c:v>7200</c:v>
                </c:pt>
                <c:pt idx="6">
                  <c:v>8640</c:v>
                </c:pt>
                <c:pt idx="7">
                  <c:v>10080</c:v>
                </c:pt>
                <c:pt idx="8">
                  <c:v>11520</c:v>
                </c:pt>
                <c:pt idx="9">
                  <c:v>12960</c:v>
                </c:pt>
                <c:pt idx="10">
                  <c:v>14400</c:v>
                </c:pt>
                <c:pt idx="11">
                  <c:v>15840</c:v>
                </c:pt>
                <c:pt idx="12">
                  <c:v>17280</c:v>
                </c:pt>
                <c:pt idx="13">
                  <c:v>18720</c:v>
                </c:pt>
                <c:pt idx="14">
                  <c:v>20160</c:v>
                </c:pt>
                <c:pt idx="15">
                  <c:v>21600</c:v>
                </c:pt>
                <c:pt idx="16">
                  <c:v>23040</c:v>
                </c:pt>
                <c:pt idx="17">
                  <c:v>24480</c:v>
                </c:pt>
                <c:pt idx="18">
                  <c:v>25920</c:v>
                </c:pt>
                <c:pt idx="19">
                  <c:v>27360</c:v>
                </c:pt>
                <c:pt idx="20">
                  <c:v>28800</c:v>
                </c:pt>
                <c:pt idx="21">
                  <c:v>30240</c:v>
                </c:pt>
                <c:pt idx="22">
                  <c:v>31680</c:v>
                </c:pt>
                <c:pt idx="23">
                  <c:v>33120</c:v>
                </c:pt>
                <c:pt idx="24">
                  <c:v>34560</c:v>
                </c:pt>
                <c:pt idx="25">
                  <c:v>36000</c:v>
                </c:pt>
                <c:pt idx="26">
                  <c:v>37440</c:v>
                </c:pt>
                <c:pt idx="27">
                  <c:v>38880</c:v>
                </c:pt>
                <c:pt idx="28">
                  <c:v>40320</c:v>
                </c:pt>
                <c:pt idx="29">
                  <c:v>41760</c:v>
                </c:pt>
                <c:pt idx="30">
                  <c:v>43200</c:v>
                </c:pt>
                <c:pt idx="31">
                  <c:v>44640</c:v>
                </c:pt>
                <c:pt idx="32">
                  <c:v>46080</c:v>
                </c:pt>
                <c:pt idx="33">
                  <c:v>47520</c:v>
                </c:pt>
                <c:pt idx="34">
                  <c:v>48960</c:v>
                </c:pt>
                <c:pt idx="35">
                  <c:v>50400</c:v>
                </c:pt>
                <c:pt idx="36">
                  <c:v>51840</c:v>
                </c:pt>
                <c:pt idx="37">
                  <c:v>53280</c:v>
                </c:pt>
                <c:pt idx="38">
                  <c:v>54720</c:v>
                </c:pt>
                <c:pt idx="39">
                  <c:v>56160</c:v>
                </c:pt>
                <c:pt idx="40">
                  <c:v>57600</c:v>
                </c:pt>
                <c:pt idx="41">
                  <c:v>59040</c:v>
                </c:pt>
                <c:pt idx="42">
                  <c:v>60480</c:v>
                </c:pt>
                <c:pt idx="43">
                  <c:v>61920</c:v>
                </c:pt>
                <c:pt idx="44">
                  <c:v>63360</c:v>
                </c:pt>
                <c:pt idx="45">
                  <c:v>64800</c:v>
                </c:pt>
                <c:pt idx="46">
                  <c:v>66240</c:v>
                </c:pt>
                <c:pt idx="47">
                  <c:v>67680</c:v>
                </c:pt>
                <c:pt idx="48">
                  <c:v>69120</c:v>
                </c:pt>
                <c:pt idx="49">
                  <c:v>70560</c:v>
                </c:pt>
                <c:pt idx="50">
                  <c:v>72000</c:v>
                </c:pt>
              </c:numCache>
            </c:numRef>
          </c:xVal>
          <c:yVal>
            <c:numRef>
              <c:f>IncHeal!$J$11:$J$61</c:f>
              <c:numCache>
                <c:formatCode>0.0\ %</c:formatCode>
                <c:ptCount val="51"/>
                <c:pt idx="0">
                  <c:v>0</c:v>
                </c:pt>
                <c:pt idx="1">
                  <c:v>1.0368663594470038E-2</c:v>
                </c:pt>
                <c:pt idx="2">
                  <c:v>2.03160270880361E-2</c:v>
                </c:pt>
                <c:pt idx="3">
                  <c:v>2.9867256637168115E-2</c:v>
                </c:pt>
                <c:pt idx="4">
                  <c:v>3.9045553145336191E-2</c:v>
                </c:pt>
                <c:pt idx="5">
                  <c:v>4.787234042553188E-2</c:v>
                </c:pt>
                <c:pt idx="6">
                  <c:v>5.6367432150313111E-2</c:v>
                </c:pt>
                <c:pt idx="7">
                  <c:v>6.4549180327868813E-2</c:v>
                </c:pt>
                <c:pt idx="8">
                  <c:v>7.2434607645875199E-2</c:v>
                </c:pt>
                <c:pt idx="9">
                  <c:v>8.0039525691699545E-2</c:v>
                </c:pt>
                <c:pt idx="10">
                  <c:v>8.7378640776698976E-2</c:v>
                </c:pt>
                <c:pt idx="11">
                  <c:v>9.4465648854961767E-2</c:v>
                </c:pt>
                <c:pt idx="12">
                  <c:v>0.10131332082551588</c:v>
                </c:pt>
                <c:pt idx="13">
                  <c:v>0.10793357933579328</c:v>
                </c:pt>
                <c:pt idx="14">
                  <c:v>0.11433756805807617</c:v>
                </c:pt>
                <c:pt idx="15">
                  <c:v>0.12053571428571422</c:v>
                </c:pt>
                <c:pt idx="16">
                  <c:v>0.12653778558875212</c:v>
                </c:pt>
                <c:pt idx="17">
                  <c:v>0.13235294117647051</c:v>
                </c:pt>
                <c:pt idx="18">
                  <c:v>0.13798977853492325</c:v>
                </c:pt>
                <c:pt idx="19">
                  <c:v>0.14345637583892609</c:v>
                </c:pt>
                <c:pt idx="20">
                  <c:v>0.14876033057851232</c:v>
                </c:pt>
                <c:pt idx="21">
                  <c:v>0.15390879478827352</c:v>
                </c:pt>
                <c:pt idx="22">
                  <c:v>0.15890850722311387</c:v>
                </c:pt>
                <c:pt idx="23">
                  <c:v>0.16376582278481006</c:v>
                </c:pt>
                <c:pt idx="24">
                  <c:v>0.16848673946957868</c:v>
                </c:pt>
                <c:pt idx="25">
                  <c:v>0.17307692307692296</c:v>
                </c:pt>
                <c:pt idx="26">
                  <c:v>0.17754172989377837</c:v>
                </c:pt>
                <c:pt idx="27">
                  <c:v>0.1818862275449101</c:v>
                </c:pt>
                <c:pt idx="28">
                  <c:v>0.18611521418020671</c:v>
                </c:pt>
                <c:pt idx="29">
                  <c:v>0.1902332361516034</c:v>
                </c:pt>
                <c:pt idx="30">
                  <c:v>0.19424460431654667</c:v>
                </c:pt>
                <c:pt idx="31">
                  <c:v>0.19815340909090898</c:v>
                </c:pt>
                <c:pt idx="32">
                  <c:v>0.20196353436185124</c:v>
                </c:pt>
                <c:pt idx="33">
                  <c:v>0.2056786703601107</c:v>
                </c:pt>
                <c:pt idx="34">
                  <c:v>0.20930232558139525</c:v>
                </c:pt>
                <c:pt idx="35">
                  <c:v>0.21283783783783772</c:v>
                </c:pt>
                <c:pt idx="36">
                  <c:v>0.21628838451268348</c:v>
                </c:pt>
                <c:pt idx="37">
                  <c:v>0.2196569920844326</c:v>
                </c:pt>
                <c:pt idx="38">
                  <c:v>0.22294654498044317</c:v>
                </c:pt>
                <c:pt idx="39">
                  <c:v>0.22615979381443291</c:v>
                </c:pt>
                <c:pt idx="40">
                  <c:v>0.22929936305732476</c:v>
                </c:pt>
                <c:pt idx="41">
                  <c:v>0.2323677581863979</c:v>
                </c:pt>
                <c:pt idx="42">
                  <c:v>0.23536737235367364</c:v>
                </c:pt>
                <c:pt idx="43">
                  <c:v>0.23830049261083736</c:v>
                </c:pt>
                <c:pt idx="44">
                  <c:v>0.24116930572472581</c:v>
                </c:pt>
                <c:pt idx="45">
                  <c:v>0.2439759036144577</c:v>
                </c:pt>
                <c:pt idx="46">
                  <c:v>0.24672228843861732</c:v>
                </c:pt>
                <c:pt idx="47">
                  <c:v>0.24941037735849042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23-4145-826A-DFCD083A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05344"/>
        <c:axId val="46107648"/>
      </c:scatterChart>
      <c:valAx>
        <c:axId val="46105344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6107648"/>
        <c:crosses val="autoZero"/>
        <c:crossBetween val="midCat"/>
      </c:valAx>
      <c:valAx>
        <c:axId val="461076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46105344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e-DE" sz="1200"/>
              <a:t>Full Block, Parry, Evade </a:t>
            </a:r>
            <a:r>
              <a:rPr lang="de-DE" sz="1200">
                <a:solidFill>
                  <a:schemeClr val="accent5">
                    <a:lumMod val="75000"/>
                  </a:schemeClr>
                </a:solidFill>
              </a:rPr>
              <a:t>T1</a:t>
            </a:r>
            <a:r>
              <a:rPr lang="de-DE" sz="1200"/>
              <a:t> / </a:t>
            </a:r>
            <a:r>
              <a:rPr lang="de-DE" sz="1200">
                <a:solidFill>
                  <a:schemeClr val="accent1">
                    <a:lumMod val="75000"/>
                  </a:schemeClr>
                </a:solidFill>
              </a:rPr>
              <a:t>T2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'Full-BPE'!$K$10</c:f>
              <c:strCache>
                <c:ptCount val="1"/>
                <c:pt idx="0">
                  <c:v>Percentage T2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triang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numRef>
              <c:f>'Full-BPE'!$I$11:$I$61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1460</c:v>
                </c:pt>
                <c:pt idx="2">
                  <c:v>2920</c:v>
                </c:pt>
                <c:pt idx="3">
                  <c:v>4380</c:v>
                </c:pt>
                <c:pt idx="4">
                  <c:v>5840</c:v>
                </c:pt>
                <c:pt idx="5">
                  <c:v>7300</c:v>
                </c:pt>
                <c:pt idx="6">
                  <c:v>8760</c:v>
                </c:pt>
                <c:pt idx="7">
                  <c:v>10220</c:v>
                </c:pt>
                <c:pt idx="8">
                  <c:v>11680</c:v>
                </c:pt>
                <c:pt idx="9">
                  <c:v>13140</c:v>
                </c:pt>
                <c:pt idx="10">
                  <c:v>14600</c:v>
                </c:pt>
                <c:pt idx="11">
                  <c:v>16060</c:v>
                </c:pt>
                <c:pt idx="12">
                  <c:v>17520</c:v>
                </c:pt>
                <c:pt idx="13">
                  <c:v>18980</c:v>
                </c:pt>
                <c:pt idx="14">
                  <c:v>20440</c:v>
                </c:pt>
                <c:pt idx="15">
                  <c:v>21900</c:v>
                </c:pt>
                <c:pt idx="16">
                  <c:v>23360</c:v>
                </c:pt>
                <c:pt idx="17">
                  <c:v>24820</c:v>
                </c:pt>
                <c:pt idx="18">
                  <c:v>26280</c:v>
                </c:pt>
                <c:pt idx="19">
                  <c:v>27740</c:v>
                </c:pt>
                <c:pt idx="20">
                  <c:v>29200</c:v>
                </c:pt>
                <c:pt idx="21">
                  <c:v>30660</c:v>
                </c:pt>
                <c:pt idx="22">
                  <c:v>32120</c:v>
                </c:pt>
                <c:pt idx="23">
                  <c:v>33580</c:v>
                </c:pt>
                <c:pt idx="24">
                  <c:v>35040</c:v>
                </c:pt>
                <c:pt idx="25">
                  <c:v>36500</c:v>
                </c:pt>
                <c:pt idx="26">
                  <c:v>37960</c:v>
                </c:pt>
                <c:pt idx="27">
                  <c:v>39420</c:v>
                </c:pt>
                <c:pt idx="28">
                  <c:v>40880</c:v>
                </c:pt>
                <c:pt idx="29">
                  <c:v>42340</c:v>
                </c:pt>
                <c:pt idx="30">
                  <c:v>43800</c:v>
                </c:pt>
                <c:pt idx="31">
                  <c:v>45260</c:v>
                </c:pt>
                <c:pt idx="32">
                  <c:v>46720</c:v>
                </c:pt>
                <c:pt idx="33">
                  <c:v>48180</c:v>
                </c:pt>
                <c:pt idx="34">
                  <c:v>49640</c:v>
                </c:pt>
                <c:pt idx="35">
                  <c:v>51100</c:v>
                </c:pt>
                <c:pt idx="36">
                  <c:v>52560</c:v>
                </c:pt>
                <c:pt idx="37">
                  <c:v>54020</c:v>
                </c:pt>
                <c:pt idx="38">
                  <c:v>55480</c:v>
                </c:pt>
                <c:pt idx="39">
                  <c:v>56940</c:v>
                </c:pt>
                <c:pt idx="40">
                  <c:v>58400</c:v>
                </c:pt>
                <c:pt idx="41">
                  <c:v>59860</c:v>
                </c:pt>
                <c:pt idx="42">
                  <c:v>61320</c:v>
                </c:pt>
                <c:pt idx="43">
                  <c:v>62780</c:v>
                </c:pt>
                <c:pt idx="44">
                  <c:v>64240</c:v>
                </c:pt>
                <c:pt idx="45">
                  <c:v>65700</c:v>
                </c:pt>
                <c:pt idx="46">
                  <c:v>67160</c:v>
                </c:pt>
                <c:pt idx="47">
                  <c:v>68620</c:v>
                </c:pt>
                <c:pt idx="48">
                  <c:v>70080</c:v>
                </c:pt>
                <c:pt idx="49">
                  <c:v>71540</c:v>
                </c:pt>
                <c:pt idx="50">
                  <c:v>73000</c:v>
                </c:pt>
              </c:numCache>
            </c:numRef>
          </c:xVal>
          <c:yVal>
            <c:numRef>
              <c:f>'Full-BPE'!$K$11:$K$61</c:f>
              <c:numCache>
                <c:formatCode>0.0\ 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7.2743682310469323E-3</c:v>
                </c:pt>
                <c:pt idx="5">
                  <c:v>1.5172910662824208E-2</c:v>
                </c:pt>
                <c:pt idx="6">
                  <c:v>2.2433628318584069E-2</c:v>
                </c:pt>
                <c:pt idx="7">
                  <c:v>2.9130781499202552E-2</c:v>
                </c:pt>
                <c:pt idx="8">
                  <c:v>3.5327533265097237E-2</c:v>
                </c:pt>
                <c:pt idx="9">
                  <c:v>4.1077947705969405E-2</c:v>
                </c:pt>
                <c:pt idx="10">
                  <c:v>4.642857142857143E-2</c:v>
                </c:pt>
                <c:pt idx="11">
                  <c:v>5.1419696272434423E-2</c:v>
                </c:pt>
                <c:pt idx="12">
                  <c:v>5.6086375779162957E-2</c:v>
                </c:pt>
                <c:pt idx="13">
                  <c:v>6.0459249676584739E-2</c:v>
                </c:pt>
                <c:pt idx="14">
                  <c:v>6.4565217391304344E-2</c:v>
                </c:pt>
                <c:pt idx="15">
                  <c:v>6.8427991886409745E-2</c:v>
                </c:pt>
                <c:pt idx="16">
                  <c:v>7.2068557919621745E-2</c:v>
                </c:pt>
                <c:pt idx="17">
                  <c:v>7.5505553427805433E-2</c:v>
                </c:pt>
                <c:pt idx="18">
                  <c:v>7.8755588673621466E-2</c:v>
                </c:pt>
                <c:pt idx="19">
                  <c:v>8.1833514689880302E-2</c:v>
                </c:pt>
                <c:pt idx="20">
                  <c:v>8.4752650176678448E-2</c:v>
                </c:pt>
                <c:pt idx="21">
                  <c:v>8.7524974164657265E-2</c:v>
                </c:pt>
                <c:pt idx="22">
                  <c:v>9.0161290322580634E-2</c:v>
                </c:pt>
                <c:pt idx="23">
                  <c:v>9.2671367661528364E-2</c:v>
                </c:pt>
                <c:pt idx="24">
                  <c:v>9.5064061499039079E-2</c:v>
                </c:pt>
                <c:pt idx="25">
                  <c:v>9.7347417840375594E-2</c:v>
                </c:pt>
                <c:pt idx="26">
                  <c:v>9.9528763769889839E-2</c:v>
                </c:pt>
                <c:pt idx="27">
                  <c:v>0.1016147859922179</c:v>
                </c:pt>
                <c:pt idx="28">
                  <c:v>0.1036115992970123</c:v>
                </c:pt>
                <c:pt idx="29">
                  <c:v>0.10552480642386006</c:v>
                </c:pt>
                <c:pt idx="30">
                  <c:v>0.10735955056179776</c:v>
                </c:pt>
                <c:pt idx="31">
                  <c:v>0.10912056151940545</c:v>
                </c:pt>
                <c:pt idx="32">
                  <c:v>0.1108121964382083</c:v>
                </c:pt>
                <c:pt idx="33">
                  <c:v>0.11243847578724529</c:v>
                </c:pt>
                <c:pt idx="34">
                  <c:v>0.11400311526479752</c:v>
                </c:pt>
                <c:pt idx="35">
                  <c:v>0.1155095541401274</c:v>
                </c:pt>
                <c:pt idx="36">
                  <c:v>0.11696098049024513</c:v>
                </c:pt>
                <c:pt idx="37">
                  <c:v>0.11836035372144436</c:v>
                </c:pt>
                <c:pt idx="38">
                  <c:v>0.11971042471042471</c:v>
                </c:pt>
                <c:pt idx="39">
                  <c:v>0.12101375385345031</c:v>
                </c:pt>
                <c:pt idx="40">
                  <c:v>0.12227272727272727</c:v>
                </c:pt>
                <c:pt idx="41">
                  <c:v>0.12348957139582856</c:v>
                </c:pt>
                <c:pt idx="42">
                  <c:v>0.1246663660955816</c:v>
                </c:pt>
                <c:pt idx="43">
                  <c:v>0.12580505655355953</c:v>
                </c:pt>
                <c:pt idx="44">
                  <c:v>0.12690746398952424</c:v>
                </c:pt>
                <c:pt idx="45">
                  <c:v>0.12797529538131042</c:v>
                </c:pt>
                <c:pt idx="46">
                  <c:v>0.12901015228426396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69-40CA-8992-92F7237E6BAF}"/>
            </c:ext>
          </c:extLst>
        </c:ser>
        <c:ser>
          <c:idx val="1"/>
          <c:order val="1"/>
          <c:tx>
            <c:strRef>
              <c:f>'Full-BPE'!$J$10</c:f>
              <c:strCache>
                <c:ptCount val="1"/>
                <c:pt idx="0">
                  <c:v>Percentage T1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squar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'Full-BPE'!$I$11:$I$61</c:f>
              <c:numCache>
                <c:formatCode>#,##0</c:formatCode>
                <c:ptCount val="51"/>
                <c:pt idx="0">
                  <c:v>0</c:v>
                </c:pt>
                <c:pt idx="1">
                  <c:v>1460</c:v>
                </c:pt>
                <c:pt idx="2">
                  <c:v>2920</c:v>
                </c:pt>
                <c:pt idx="3">
                  <c:v>4380</c:v>
                </c:pt>
                <c:pt idx="4">
                  <c:v>5840</c:v>
                </c:pt>
                <c:pt idx="5">
                  <c:v>7300</c:v>
                </c:pt>
                <c:pt idx="6">
                  <c:v>8760</c:v>
                </c:pt>
                <c:pt idx="7">
                  <c:v>10220</c:v>
                </c:pt>
                <c:pt idx="8">
                  <c:v>11680</c:v>
                </c:pt>
                <c:pt idx="9">
                  <c:v>13140</c:v>
                </c:pt>
                <c:pt idx="10">
                  <c:v>14600</c:v>
                </c:pt>
                <c:pt idx="11">
                  <c:v>16060</c:v>
                </c:pt>
                <c:pt idx="12">
                  <c:v>17520</c:v>
                </c:pt>
                <c:pt idx="13">
                  <c:v>18980</c:v>
                </c:pt>
                <c:pt idx="14">
                  <c:v>20440</c:v>
                </c:pt>
                <c:pt idx="15">
                  <c:v>21900</c:v>
                </c:pt>
                <c:pt idx="16">
                  <c:v>23360</c:v>
                </c:pt>
                <c:pt idx="17">
                  <c:v>24820</c:v>
                </c:pt>
                <c:pt idx="18">
                  <c:v>26280</c:v>
                </c:pt>
                <c:pt idx="19">
                  <c:v>27740</c:v>
                </c:pt>
                <c:pt idx="20">
                  <c:v>29200</c:v>
                </c:pt>
                <c:pt idx="21">
                  <c:v>30660</c:v>
                </c:pt>
                <c:pt idx="22">
                  <c:v>32120</c:v>
                </c:pt>
                <c:pt idx="23">
                  <c:v>33580</c:v>
                </c:pt>
                <c:pt idx="24">
                  <c:v>35040</c:v>
                </c:pt>
                <c:pt idx="25">
                  <c:v>36500</c:v>
                </c:pt>
                <c:pt idx="26">
                  <c:v>37960</c:v>
                </c:pt>
                <c:pt idx="27">
                  <c:v>39420</c:v>
                </c:pt>
                <c:pt idx="28">
                  <c:v>40880</c:v>
                </c:pt>
                <c:pt idx="29">
                  <c:v>42340</c:v>
                </c:pt>
                <c:pt idx="30">
                  <c:v>43800</c:v>
                </c:pt>
                <c:pt idx="31">
                  <c:v>45260</c:v>
                </c:pt>
                <c:pt idx="32">
                  <c:v>46720</c:v>
                </c:pt>
                <c:pt idx="33">
                  <c:v>48180</c:v>
                </c:pt>
                <c:pt idx="34">
                  <c:v>49640</c:v>
                </c:pt>
                <c:pt idx="35">
                  <c:v>51100</c:v>
                </c:pt>
                <c:pt idx="36">
                  <c:v>52560</c:v>
                </c:pt>
                <c:pt idx="37">
                  <c:v>54020</c:v>
                </c:pt>
                <c:pt idx="38">
                  <c:v>55480</c:v>
                </c:pt>
                <c:pt idx="39">
                  <c:v>56940</c:v>
                </c:pt>
                <c:pt idx="40">
                  <c:v>58400</c:v>
                </c:pt>
                <c:pt idx="41">
                  <c:v>59860</c:v>
                </c:pt>
                <c:pt idx="42">
                  <c:v>61320</c:v>
                </c:pt>
                <c:pt idx="43">
                  <c:v>62780</c:v>
                </c:pt>
                <c:pt idx="44">
                  <c:v>64240</c:v>
                </c:pt>
                <c:pt idx="45">
                  <c:v>65700</c:v>
                </c:pt>
                <c:pt idx="46">
                  <c:v>67160</c:v>
                </c:pt>
                <c:pt idx="47">
                  <c:v>68620</c:v>
                </c:pt>
                <c:pt idx="48">
                  <c:v>70080</c:v>
                </c:pt>
                <c:pt idx="49">
                  <c:v>71540</c:v>
                </c:pt>
                <c:pt idx="50">
                  <c:v>73000</c:v>
                </c:pt>
              </c:numCache>
            </c:numRef>
          </c:xVal>
          <c:yVal>
            <c:numRef>
              <c:f>'Full-BPE'!$J$11:$J$61</c:f>
              <c:numCache>
                <c:formatCode>0.0\ %</c:formatCode>
                <c:ptCount val="51"/>
                <c:pt idx="0">
                  <c:v>0</c:v>
                </c:pt>
                <c:pt idx="1">
                  <c:v>8.5086670651524209E-3</c:v>
                </c:pt>
                <c:pt idx="2">
                  <c:v>1.6305841924398625E-2</c:v>
                </c:pt>
                <c:pt idx="3">
                  <c:v>2.3477185266630021E-2</c:v>
                </c:pt>
                <c:pt idx="4">
                  <c:v>3.0095137420718818E-2</c:v>
                </c:pt>
                <c:pt idx="5">
                  <c:v>3.622137404580153E-2</c:v>
                </c:pt>
                <c:pt idx="6">
                  <c:v>4.1908734052993134E-2</c:v>
                </c:pt>
                <c:pt idx="7">
                  <c:v>4.7202747513027006E-2</c:v>
                </c:pt>
                <c:pt idx="8">
                  <c:v>5.2142857142857144E-2</c:v>
                </c:pt>
                <c:pt idx="9">
                  <c:v>5.6763402747009306E-2</c:v>
                </c:pt>
                <c:pt idx="10">
                  <c:v>6.1094420600858373E-2</c:v>
                </c:pt>
                <c:pt idx="11">
                  <c:v>6.5162297128589272E-2</c:v>
                </c:pt>
                <c:pt idx="12">
                  <c:v>6.8990306946688201E-2</c:v>
                </c:pt>
                <c:pt idx="13">
                  <c:v>7.2599058454295817E-2</c:v>
                </c:pt>
                <c:pt idx="14">
                  <c:v>7.6006864988558367E-2</c:v>
                </c:pt>
                <c:pt idx="15">
                  <c:v>7.9230055658627091E-2</c:v>
                </c:pt>
                <c:pt idx="16">
                  <c:v>8.2283236994219661E-2</c:v>
                </c:pt>
                <c:pt idx="17">
                  <c:v>8.5179514255543834E-2</c:v>
                </c:pt>
                <c:pt idx="18">
                  <c:v>8.7930679478380236E-2</c:v>
                </c:pt>
                <c:pt idx="19">
                  <c:v>9.054737194509542E-2</c:v>
                </c:pt>
                <c:pt idx="20">
                  <c:v>9.3039215686274518E-2</c:v>
                </c:pt>
                <c:pt idx="21">
                  <c:v>9.5414937759336113E-2</c:v>
                </c:pt>
                <c:pt idx="22">
                  <c:v>9.7682470368059895E-2</c:v>
                </c:pt>
                <c:pt idx="23">
                  <c:v>9.9849039341262588E-2</c:v>
                </c:pt>
                <c:pt idx="24">
                  <c:v>0.10192124105011933</c:v>
                </c:pt>
                <c:pt idx="25">
                  <c:v>0.1039051094890511</c:v>
                </c:pt>
                <c:pt idx="26">
                  <c:v>0.10580617495711836</c:v>
                </c:pt>
                <c:pt idx="27">
                  <c:v>0.10762951554186503</c:v>
                </c:pt>
                <c:pt idx="28">
                  <c:v>0.10937980241492866</c:v>
                </c:pt>
                <c:pt idx="29">
                  <c:v>0.11106133979015334</c:v>
                </c:pt>
                <c:pt idx="30">
                  <c:v>0.11267810026385225</c:v>
                </c:pt>
                <c:pt idx="31">
                  <c:v>0.11423375614807146</c:v>
                </c:pt>
                <c:pt idx="32">
                  <c:v>0.11573170731707318</c:v>
                </c:pt>
                <c:pt idx="33">
                  <c:v>0.1171751060114742</c:v>
                </c:pt>
                <c:pt idx="34">
                  <c:v>0.11856687898089173</c:v>
                </c:pt>
                <c:pt idx="35">
                  <c:v>0.11990974729241878</c:v>
                </c:pt>
                <c:pt idx="36">
                  <c:v>0.1212062440870388</c:v>
                </c:pt>
                <c:pt idx="37">
                  <c:v>0.12245873052778423</c:v>
                </c:pt>
                <c:pt idx="38">
                  <c:v>0.12366941015089164</c:v>
                </c:pt>
                <c:pt idx="39">
                  <c:v>0.12484034180346301</c:v>
                </c:pt>
                <c:pt idx="40">
                  <c:v>0.12597345132743365</c:v>
                </c:pt>
                <c:pt idx="41">
                  <c:v>0.12707054212932722</c:v>
                </c:pt>
                <c:pt idx="42">
                  <c:v>0.12813330475782256</c:v>
                </c:pt>
                <c:pt idx="43">
                  <c:v>0.12916332559611735</c:v>
                </c:pt>
                <c:pt idx="44">
                  <c:v>0.13</c:v>
                </c:pt>
                <c:pt idx="45">
                  <c:v>0.13</c:v>
                </c:pt>
                <c:pt idx="46">
                  <c:v>0.13</c:v>
                </c:pt>
                <c:pt idx="47">
                  <c:v>0.13</c:v>
                </c:pt>
                <c:pt idx="48">
                  <c:v>0.13</c:v>
                </c:pt>
                <c:pt idx="49">
                  <c:v>0.13</c:v>
                </c:pt>
                <c:pt idx="50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69-40CA-8992-92F7237E6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87392"/>
        <c:axId val="89789952"/>
      </c:scatterChart>
      <c:valAx>
        <c:axId val="8978739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Rating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9789952"/>
        <c:crosses val="autoZero"/>
        <c:crossBetween val="midCat"/>
      </c:valAx>
      <c:valAx>
        <c:axId val="89789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Percentage</a:t>
                </a:r>
              </a:p>
            </c:rich>
          </c:tx>
          <c:overlay val="0"/>
        </c:title>
        <c:numFmt formatCode="0\ %" sourceLinked="0"/>
        <c:majorTickMark val="out"/>
        <c:minorTickMark val="none"/>
        <c:tickLblPos val="nextTo"/>
        <c:crossAx val="89787392"/>
        <c:crosses val="autoZero"/>
        <c:crossBetween val="midCat"/>
      </c:valAx>
    </c:plotArea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13</xdr:row>
      <xdr:rowOff>8311</xdr:rowOff>
    </xdr:from>
    <xdr:to>
      <xdr:col>6</xdr:col>
      <xdr:colOff>831272</xdr:colOff>
      <xdr:row>24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10</xdr:row>
      <xdr:rowOff>8311</xdr:rowOff>
    </xdr:from>
    <xdr:to>
      <xdr:col>6</xdr:col>
      <xdr:colOff>831272</xdr:colOff>
      <xdr:row>21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8</xdr:row>
      <xdr:rowOff>8311</xdr:rowOff>
    </xdr:from>
    <xdr:to>
      <xdr:col>6</xdr:col>
      <xdr:colOff>831272</xdr:colOff>
      <xdr:row>19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10</xdr:row>
      <xdr:rowOff>8311</xdr:rowOff>
    </xdr:from>
    <xdr:to>
      <xdr:col>7</xdr:col>
      <xdr:colOff>0</xdr:colOff>
      <xdr:row>21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831273</xdr:colOff>
      <xdr:row>36</xdr:row>
      <xdr:rowOff>232758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8311</xdr:colOff>
      <xdr:row>2</xdr:row>
      <xdr:rowOff>8310</xdr:rowOff>
    </xdr:from>
    <xdr:to>
      <xdr:col>6</xdr:col>
      <xdr:colOff>1039090</xdr:colOff>
      <xdr:row>19</xdr:row>
      <xdr:rowOff>241068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13</xdr:col>
      <xdr:colOff>1030779</xdr:colOff>
      <xdr:row>19</xdr:row>
      <xdr:rowOff>232758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6</xdr:row>
      <xdr:rowOff>8311</xdr:rowOff>
    </xdr:from>
    <xdr:to>
      <xdr:col>6</xdr:col>
      <xdr:colOff>831272</xdr:colOff>
      <xdr:row>17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6</xdr:row>
      <xdr:rowOff>8311</xdr:rowOff>
    </xdr:from>
    <xdr:to>
      <xdr:col>6</xdr:col>
      <xdr:colOff>831272</xdr:colOff>
      <xdr:row>17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6</xdr:row>
      <xdr:rowOff>8311</xdr:rowOff>
    </xdr:from>
    <xdr:to>
      <xdr:col>6</xdr:col>
      <xdr:colOff>831272</xdr:colOff>
      <xdr:row>17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7</xdr:row>
      <xdr:rowOff>8311</xdr:rowOff>
    </xdr:from>
    <xdr:to>
      <xdr:col>6</xdr:col>
      <xdr:colOff>831272</xdr:colOff>
      <xdr:row>18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8</xdr:row>
      <xdr:rowOff>8311</xdr:rowOff>
    </xdr:from>
    <xdr:to>
      <xdr:col>6</xdr:col>
      <xdr:colOff>831272</xdr:colOff>
      <xdr:row>19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5</xdr:row>
      <xdr:rowOff>8311</xdr:rowOff>
    </xdr:from>
    <xdr:to>
      <xdr:col>7</xdr:col>
      <xdr:colOff>0</xdr:colOff>
      <xdr:row>16</xdr:row>
      <xdr:rowOff>241068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5</xdr:row>
      <xdr:rowOff>8311</xdr:rowOff>
    </xdr:from>
    <xdr:to>
      <xdr:col>7</xdr:col>
      <xdr:colOff>0</xdr:colOff>
      <xdr:row>16</xdr:row>
      <xdr:rowOff>241068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6</xdr:row>
      <xdr:rowOff>8311</xdr:rowOff>
    </xdr:from>
    <xdr:to>
      <xdr:col>6</xdr:col>
      <xdr:colOff>831272</xdr:colOff>
      <xdr:row>17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5</xdr:row>
      <xdr:rowOff>8311</xdr:rowOff>
    </xdr:from>
    <xdr:to>
      <xdr:col>7</xdr:col>
      <xdr:colOff>0</xdr:colOff>
      <xdr:row>16</xdr:row>
      <xdr:rowOff>241068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7</xdr:row>
      <xdr:rowOff>8311</xdr:rowOff>
    </xdr:from>
    <xdr:to>
      <xdr:col>6</xdr:col>
      <xdr:colOff>831272</xdr:colOff>
      <xdr:row>18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</xdr:colOff>
      <xdr:row>7</xdr:row>
      <xdr:rowOff>8311</xdr:rowOff>
    </xdr:from>
    <xdr:to>
      <xdr:col>6</xdr:col>
      <xdr:colOff>831272</xdr:colOff>
      <xdr:row>18</xdr:row>
      <xdr:rowOff>241069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Palette_JS">
      <a:dk1>
        <a:srgbClr val="000000"/>
      </a:dk1>
      <a:lt1>
        <a:sysClr val="window" lastClr="FFFFFF"/>
      </a:lt1>
      <a:dk2>
        <a:srgbClr val="404040"/>
      </a:dk2>
      <a:lt2>
        <a:srgbClr val="B0B8D0"/>
      </a:lt2>
      <a:accent1>
        <a:srgbClr val="E41C1C"/>
      </a:accent1>
      <a:accent2>
        <a:srgbClr val="E4681C"/>
      </a:accent2>
      <a:accent3>
        <a:srgbClr val="E9B307"/>
      </a:accent3>
      <a:accent4>
        <a:srgbClr val="18A829"/>
      </a:accent4>
      <a:accent5>
        <a:srgbClr val="405EC0"/>
      </a:accent5>
      <a:accent6>
        <a:srgbClr val="A118A8"/>
      </a:accent6>
      <a:hlink>
        <a:srgbClr val="6187E3"/>
      </a:hlink>
      <a:folHlink>
        <a:srgbClr val="7B8EB8"/>
      </a:folHlink>
    </a:clrScheme>
    <a:fontScheme name="LUW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K62"/>
  <sheetViews>
    <sheetView tabSelected="1" workbookViewId="0" xr3:uid="{AEA406A1-0E4B-5B11-9CD5-51D6E497D94C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0</v>
      </c>
      <c r="C1" s="40"/>
      <c r="D1" s="40"/>
      <c r="E1" s="40"/>
      <c r="F1" s="40"/>
      <c r="G1" s="41"/>
      <c r="I1" s="12" t="s">
        <v>1</v>
      </c>
      <c r="J1" s="15">
        <v>115</v>
      </c>
      <c r="K1" s="37" t="s">
        <v>2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 t="shared" ref="A3:A12" si="0">IF(AND($J$1&gt;=$B3,$J$1&lt;=$C3),"&gt;","")</f>
        <v/>
      </c>
      <c r="B3" s="5">
        <v>1</v>
      </c>
      <c r="C3" s="5">
        <v>20</v>
      </c>
      <c r="D3" s="10">
        <f t="shared" ref="D3:D12" si="1">1/9</f>
        <v>0.1111111111111111</v>
      </c>
      <c r="E3" s="14">
        <v>0.4</v>
      </c>
      <c r="F3" s="10">
        <v>144.44999999999999</v>
      </c>
      <c r="G3" s="7"/>
      <c r="J3" s="34" t="s">
        <v>9</v>
      </c>
      <c r="K3" s="17" t="s">
        <v>10</v>
      </c>
    </row>
    <row r="4" spans="1:11" ht="20.100000000000001" customHeight="1">
      <c r="A4" s="3" t="str">
        <f t="shared" si="0"/>
        <v/>
      </c>
      <c r="B4" s="5">
        <v>21</v>
      </c>
      <c r="C4" s="5">
        <v>49</v>
      </c>
      <c r="D4" s="10">
        <f t="shared" si="1"/>
        <v>0.1111111111111111</v>
      </c>
      <c r="E4" s="14">
        <v>0.4</v>
      </c>
      <c r="F4" s="10">
        <f>7733/58</f>
        <v>133.32758620689654</v>
      </c>
      <c r="G4" s="7">
        <f>6451/29</f>
        <v>222.44827586206895</v>
      </c>
      <c r="I4" s="27" t="s">
        <v>11</v>
      </c>
      <c r="J4" s="28">
        <f>SUMPRODUCT(($A$3:$A$99="&gt;")*($F$3:$F$99))*$J$1+SUMPRODUCT(($A$3:$A$99="&gt;")*($G$3:$G$99))+J$8</f>
        <v>222750</v>
      </c>
      <c r="K4" s="18">
        <f>SUMPRODUCT(($A$3:$A$99="&gt;")*($F$3:$F$99))*$J$1+SUMPRODUCT(($A$3:$A$99="&gt;")*($G$3:$G$99))+K$8</f>
        <v>222750</v>
      </c>
    </row>
    <row r="5" spans="1:11" ht="20.100000000000001" customHeight="1">
      <c r="A5" s="3" t="str">
        <f t="shared" si="0"/>
        <v/>
      </c>
      <c r="B5" s="5">
        <v>50</v>
      </c>
      <c r="C5" s="5">
        <v>50</v>
      </c>
      <c r="D5" s="10">
        <f t="shared" si="1"/>
        <v>0.1111111111111111</v>
      </c>
      <c r="E5" s="14">
        <v>0.4</v>
      </c>
      <c r="F5" s="10">
        <f>1220/9</f>
        <v>135.55555555555554</v>
      </c>
      <c r="G5" s="7"/>
      <c r="I5" s="27" t="s">
        <v>5</v>
      </c>
      <c r="J5" s="29">
        <f>SUMPRODUCT(($A$3:$A$99="&gt;")*($D$3:$D$99))</f>
        <v>0.1111111111111111</v>
      </c>
      <c r="K5" s="19">
        <f>$J5</f>
        <v>0.1111111111111111</v>
      </c>
    </row>
    <row r="6" spans="1:11" ht="20.100000000000001" customHeight="1">
      <c r="A6" s="3" t="str">
        <f t="shared" si="0"/>
        <v/>
      </c>
      <c r="B6" s="5">
        <v>51</v>
      </c>
      <c r="C6" s="5">
        <v>59</v>
      </c>
      <c r="D6" s="10">
        <f t="shared" si="1"/>
        <v>0.1111111111111111</v>
      </c>
      <c r="E6" s="14">
        <v>0.8</v>
      </c>
      <c r="F6" s="10">
        <v>305.5</v>
      </c>
      <c r="G6" s="7">
        <v>-1691.5</v>
      </c>
      <c r="I6" s="27" t="s">
        <v>6</v>
      </c>
      <c r="J6" s="30">
        <f>SUMPRODUCT(($A$3:$A$99="&gt;")*($E$3:$E$99))</f>
        <v>4</v>
      </c>
      <c r="K6" s="20">
        <f>$J6</f>
        <v>4</v>
      </c>
    </row>
    <row r="7" spans="1:11" ht="20.100000000000001" customHeight="1">
      <c r="A7" s="3" t="str">
        <f t="shared" si="0"/>
        <v/>
      </c>
      <c r="B7" s="5">
        <v>60</v>
      </c>
      <c r="C7" s="5">
        <v>60</v>
      </c>
      <c r="D7" s="10">
        <f t="shared" si="1"/>
        <v>0.1111111111111111</v>
      </c>
      <c r="E7" s="14">
        <v>0.8</v>
      </c>
      <c r="F7" s="10">
        <f>2500/9</f>
        <v>277.77777777777777</v>
      </c>
      <c r="G7" s="7"/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A8" s="3" t="str">
        <f t="shared" si="0"/>
        <v/>
      </c>
      <c r="B8" s="5">
        <v>61</v>
      </c>
      <c r="C8" s="5">
        <v>99</v>
      </c>
      <c r="D8" s="10">
        <f t="shared" si="1"/>
        <v>0.1111111111111111</v>
      </c>
      <c r="E8" s="14">
        <v>2</v>
      </c>
      <c r="F8" s="10">
        <f>62489/76</f>
        <v>822.22368421052636</v>
      </c>
      <c r="G8" s="7">
        <f>-560739/76</f>
        <v>-7378.144736842105</v>
      </c>
      <c r="I8" s="32" t="s">
        <v>14</v>
      </c>
      <c r="J8" s="33">
        <v>0</v>
      </c>
      <c r="K8" s="21">
        <v>0</v>
      </c>
    </row>
    <row r="9" spans="1:11" ht="20.100000000000001" customHeight="1">
      <c r="A9" s="3" t="str">
        <f t="shared" si="0"/>
        <v/>
      </c>
      <c r="B9" s="5">
        <v>100</v>
      </c>
      <c r="C9" s="5">
        <v>100</v>
      </c>
      <c r="D9" s="10">
        <f t="shared" si="1"/>
        <v>0.1111111111111111</v>
      </c>
      <c r="E9" s="14">
        <v>2</v>
      </c>
      <c r="F9" s="10">
        <f>2225/3</f>
        <v>741.66666666666663</v>
      </c>
      <c r="G9" s="7"/>
      <c r="K9" s="1"/>
    </row>
    <row r="10" spans="1:11" ht="20.100000000000001" customHeight="1">
      <c r="A10" s="3" t="str">
        <f t="shared" si="0"/>
        <v/>
      </c>
      <c r="B10" s="5">
        <v>101</v>
      </c>
      <c r="C10" s="5">
        <v>104</v>
      </c>
      <c r="D10" s="10">
        <f t="shared" si="1"/>
        <v>0.1111111111111111</v>
      </c>
      <c r="E10" s="14">
        <v>4</v>
      </c>
      <c r="F10" s="10">
        <f>133/3</f>
        <v>44.333333333333336</v>
      </c>
      <c r="G10" s="7">
        <f>431567/3</f>
        <v>143855.66666666666</v>
      </c>
      <c r="I10" s="4" t="s">
        <v>15</v>
      </c>
      <c r="J10" s="23" t="s">
        <v>16</v>
      </c>
      <c r="K10" s="25" t="s">
        <v>17</v>
      </c>
    </row>
    <row r="11" spans="1:11" ht="20.100000000000001" customHeight="1">
      <c r="A11" s="3" t="str">
        <f t="shared" si="0"/>
        <v/>
      </c>
      <c r="B11" s="5">
        <v>105</v>
      </c>
      <c r="C11" s="5">
        <v>105</v>
      </c>
      <c r="D11" s="10">
        <f t="shared" si="1"/>
        <v>0.1111111111111111</v>
      </c>
      <c r="E11" s="14">
        <v>4</v>
      </c>
      <c r="F11" s="10">
        <f>9900/7</f>
        <v>1414.2857142857142</v>
      </c>
      <c r="G11" s="7"/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A12" s="3" t="str">
        <f t="shared" si="0"/>
        <v>&gt;</v>
      </c>
      <c r="B12" s="5">
        <v>106</v>
      </c>
      <c r="C12" s="5">
        <v>115</v>
      </c>
      <c r="D12" s="10">
        <f t="shared" si="1"/>
        <v>0.1111111111111111</v>
      </c>
      <c r="E12" s="14">
        <v>4</v>
      </c>
      <c r="F12" s="10">
        <v>4125</v>
      </c>
      <c r="G12" s="7">
        <v>-251625</v>
      </c>
      <c r="I12" s="8">
        <f t="shared" ref="I12:I59" si="2">$I$11+($I$61-$I$11)/(ROW($I$61)-ROW($I$11))*(ROW($I12)-ROW($I$11))</f>
        <v>4800</v>
      </c>
      <c r="J12" s="24">
        <f t="shared" ref="J12:K43" si="3">IFERROR(IF((J$5+1)/(J$5+($J$4/($I12-J$8)))*J$6&lt;=IF(J$7&lt;&gt;"N",J$6,999),IF((J$5+1)/(J$5+($J$4/($I12-J$8)))*J$6&gt;=0,(J$5+1)/(J$5+($J$4/($I12-J$8)))*J$6,0),J$6),0)</f>
        <v>9.5543778457863701E-2</v>
      </c>
      <c r="K12" s="22">
        <f t="shared" si="3"/>
        <v>9.5543778457863701E-2</v>
      </c>
    </row>
    <row r="13" spans="1:11" ht="20.100000000000001" customHeight="1">
      <c r="I13" s="8">
        <f t="shared" si="2"/>
        <v>9600</v>
      </c>
      <c r="J13" s="24">
        <f t="shared" si="3"/>
        <v>0.19063221386551493</v>
      </c>
      <c r="K13" s="22">
        <f t="shared" si="3"/>
        <v>0.19063221386551493</v>
      </c>
    </row>
    <row r="14" spans="1:11" ht="20.100000000000001" customHeight="1">
      <c r="I14" s="8">
        <f t="shared" si="2"/>
        <v>14400</v>
      </c>
      <c r="J14" s="24">
        <f t="shared" si="3"/>
        <v>0.28526855359928682</v>
      </c>
      <c r="K14" s="22">
        <f t="shared" si="3"/>
        <v>0.28526855359928682</v>
      </c>
    </row>
    <row r="15" spans="1:11" ht="20.100000000000001" customHeight="1">
      <c r="I15" s="8">
        <f t="shared" si="2"/>
        <v>19200</v>
      </c>
      <c r="J15" s="24">
        <f t="shared" si="3"/>
        <v>0.37945601422960057</v>
      </c>
      <c r="K15" s="22">
        <f t="shared" si="3"/>
        <v>0.37945601422960057</v>
      </c>
    </row>
    <row r="16" spans="1:11" ht="20.100000000000001" customHeight="1">
      <c r="I16" s="8">
        <f t="shared" si="2"/>
        <v>24000</v>
      </c>
      <c r="J16" s="24">
        <f t="shared" si="3"/>
        <v>0.47319778188539746</v>
      </c>
      <c r="K16" s="22">
        <f t="shared" si="3"/>
        <v>0.47319778188539746</v>
      </c>
    </row>
    <row r="17" spans="2:11" ht="20.100000000000001" customHeight="1">
      <c r="I17" s="8">
        <f t="shared" si="2"/>
        <v>28800</v>
      </c>
      <c r="J17" s="24">
        <f t="shared" si="3"/>
        <v>0.56649701261341012</v>
      </c>
      <c r="K17" s="22">
        <f t="shared" si="3"/>
        <v>0.56649701261341012</v>
      </c>
    </row>
    <row r="18" spans="2:11" ht="20.100000000000001" customHeight="1">
      <c r="I18" s="8">
        <f t="shared" si="2"/>
        <v>33600</v>
      </c>
      <c r="J18" s="24">
        <f t="shared" si="3"/>
        <v>0.65935683273235712</v>
      </c>
      <c r="K18" s="22">
        <f t="shared" si="3"/>
        <v>0.65935683273235712</v>
      </c>
    </row>
    <row r="19" spans="2:11" ht="20.100000000000001" customHeight="1">
      <c r="I19" s="8">
        <f t="shared" si="2"/>
        <v>38400</v>
      </c>
      <c r="J19" s="24">
        <f t="shared" si="3"/>
        <v>0.75178033918214526</v>
      </c>
      <c r="K19" s="22">
        <f t="shared" si="3"/>
        <v>0.75178033918214526</v>
      </c>
    </row>
    <row r="20" spans="2:11" ht="20.100000000000001" customHeight="1">
      <c r="I20" s="8">
        <f t="shared" si="2"/>
        <v>43200</v>
      </c>
      <c r="J20" s="24">
        <f t="shared" si="3"/>
        <v>0.84377059986816094</v>
      </c>
      <c r="K20" s="22">
        <f t="shared" si="3"/>
        <v>0.84377059986816094</v>
      </c>
    </row>
    <row r="21" spans="2:11" ht="20.100000000000001" customHeight="1">
      <c r="I21" s="8">
        <f t="shared" si="2"/>
        <v>48000</v>
      </c>
      <c r="J21" s="24">
        <f t="shared" si="3"/>
        <v>0.9353306540007309</v>
      </c>
      <c r="K21" s="22">
        <f t="shared" si="3"/>
        <v>0.9353306540007309</v>
      </c>
    </row>
    <row r="22" spans="2:11" ht="20.100000000000001" customHeight="1">
      <c r="I22" s="8">
        <f t="shared" si="2"/>
        <v>52800</v>
      </c>
      <c r="J22" s="24">
        <f t="shared" si="3"/>
        <v>1.0264635124298318</v>
      </c>
      <c r="K22" s="22">
        <f t="shared" si="3"/>
        <v>1.0264635124298318</v>
      </c>
    </row>
    <row r="23" spans="2:11" ht="20.100000000000001" customHeight="1">
      <c r="I23" s="8">
        <f t="shared" si="2"/>
        <v>57600</v>
      </c>
      <c r="J23" s="24">
        <f t="shared" si="3"/>
        <v>1.1171721579751255</v>
      </c>
      <c r="K23" s="22">
        <f t="shared" si="3"/>
        <v>1.1171721579751255</v>
      </c>
    </row>
    <row r="24" spans="2:11" ht="20.100000000000001" customHeight="1">
      <c r="I24" s="8">
        <f t="shared" si="2"/>
        <v>62400</v>
      </c>
      <c r="J24" s="24">
        <f t="shared" si="3"/>
        <v>1.207459545751397</v>
      </c>
      <c r="K24" s="22">
        <f t="shared" si="3"/>
        <v>1.207459545751397</v>
      </c>
    </row>
    <row r="25" spans="2:11" ht="20.100000000000001" customHeight="1">
      <c r="I25" s="8">
        <f t="shared" si="2"/>
        <v>67200</v>
      </c>
      <c r="J25" s="24">
        <f t="shared" si="3"/>
        <v>1.2973286034894664</v>
      </c>
      <c r="K25" s="22">
        <f t="shared" si="3"/>
        <v>1.2973286034894664</v>
      </c>
    </row>
    <row r="26" spans="2:11" ht="20.100000000000001" customHeight="1">
      <c r="B26" s="11"/>
      <c r="I26" s="8">
        <f t="shared" si="2"/>
        <v>72000</v>
      </c>
      <c r="J26" s="24">
        <f t="shared" si="3"/>
        <v>1.3867822318526544</v>
      </c>
      <c r="K26" s="22">
        <f t="shared" si="3"/>
        <v>1.3867822318526544</v>
      </c>
    </row>
    <row r="27" spans="2:11" ht="20.100000000000001" customHeight="1">
      <c r="B27" s="42" t="s">
        <v>18</v>
      </c>
      <c r="C27" s="43"/>
      <c r="D27" s="16">
        <f>ROUNDUP($J$4*1.05,-LEN(TEXT($J$4*1.05,"0"))+2)</f>
        <v>240000</v>
      </c>
      <c r="I27" s="8">
        <f t="shared" si="2"/>
        <v>76800</v>
      </c>
      <c r="J27" s="24">
        <f t="shared" si="3"/>
        <v>1.4758233047488651</v>
      </c>
      <c r="K27" s="22">
        <f t="shared" si="3"/>
        <v>1.4758233047488651</v>
      </c>
    </row>
    <row r="28" spans="2:11" ht="20.100000000000001" customHeight="1">
      <c r="I28" s="8">
        <f t="shared" si="2"/>
        <v>81600</v>
      </c>
      <c r="J28" s="24">
        <f t="shared" si="3"/>
        <v>1.5644546696383637</v>
      </c>
      <c r="K28" s="22">
        <f t="shared" si="3"/>
        <v>1.5644546696383637</v>
      </c>
    </row>
    <row r="29" spans="2:11" ht="20.100000000000001" customHeight="1">
      <c r="I29" s="8">
        <f t="shared" si="2"/>
        <v>86400</v>
      </c>
      <c r="J29" s="24">
        <f t="shared" si="3"/>
        <v>1.6526791478373144</v>
      </c>
      <c r="K29" s="22">
        <f t="shared" si="3"/>
        <v>1.6526791478373144</v>
      </c>
    </row>
    <row r="30" spans="2:11" ht="20.100000000000001" customHeight="1">
      <c r="I30" s="8">
        <f t="shared" si="2"/>
        <v>91200</v>
      </c>
      <c r="J30" s="24">
        <f t="shared" si="3"/>
        <v>1.7404995348171473</v>
      </c>
      <c r="K30" s="22">
        <f t="shared" si="3"/>
        <v>1.7404995348171473</v>
      </c>
    </row>
    <row r="31" spans="2:11" ht="20.100000000000001" customHeight="1">
      <c r="I31" s="8">
        <f t="shared" si="2"/>
        <v>96000</v>
      </c>
      <c r="J31" s="24">
        <f t="shared" si="3"/>
        <v>1.8279186004998216</v>
      </c>
      <c r="K31" s="22">
        <f t="shared" si="3"/>
        <v>1.8279186004998216</v>
      </c>
    </row>
    <row r="32" spans="2:11" ht="20.100000000000001" customHeight="1">
      <c r="I32" s="8">
        <f t="shared" si="2"/>
        <v>100800</v>
      </c>
      <c r="J32" s="24">
        <f t="shared" si="3"/>
        <v>1.9149390895490492</v>
      </c>
      <c r="K32" s="22">
        <f t="shared" si="3"/>
        <v>1.9149390895490492</v>
      </c>
    </row>
    <row r="33" spans="2:11" ht="20.100000000000001" customHeight="1">
      <c r="B33"/>
      <c r="I33" s="8">
        <f t="shared" si="2"/>
        <v>105600</v>
      </c>
      <c r="J33" s="24">
        <f t="shared" si="3"/>
        <v>2.0015637216575448</v>
      </c>
      <c r="K33" s="22">
        <f t="shared" si="3"/>
        <v>2.0015637216575448</v>
      </c>
    </row>
    <row r="34" spans="2:11" ht="20.100000000000001" customHeight="1">
      <c r="I34" s="8">
        <f t="shared" si="2"/>
        <v>110400</v>
      </c>
      <c r="J34" s="24">
        <f t="shared" si="3"/>
        <v>2.087795191830367</v>
      </c>
      <c r="K34" s="22">
        <f t="shared" si="3"/>
        <v>2.087795191830367</v>
      </c>
    </row>
    <row r="35" spans="2:11" ht="20.100000000000001" customHeight="1">
      <c r="I35" s="8">
        <f t="shared" si="2"/>
        <v>115200</v>
      </c>
      <c r="J35" s="24">
        <f t="shared" si="3"/>
        <v>2.1736361706644023</v>
      </c>
      <c r="K35" s="22">
        <f t="shared" si="3"/>
        <v>2.1736361706644023</v>
      </c>
    </row>
    <row r="36" spans="2:11" ht="20.100000000000001" customHeight="1">
      <c r="I36" s="8">
        <f t="shared" si="2"/>
        <v>120000</v>
      </c>
      <c r="J36" s="24">
        <f t="shared" si="3"/>
        <v>2.2590893046240734</v>
      </c>
      <c r="K36" s="22">
        <f t="shared" si="3"/>
        <v>2.2590893046240734</v>
      </c>
    </row>
    <row r="37" spans="2:11" ht="20.100000000000001" customHeight="1">
      <c r="I37" s="8">
        <f t="shared" si="2"/>
        <v>124800</v>
      </c>
      <c r="J37" s="24">
        <f t="shared" si="3"/>
        <v>2.3441572163133055</v>
      </c>
      <c r="K37" s="22">
        <f t="shared" si="3"/>
        <v>2.3441572163133055</v>
      </c>
    </row>
    <row r="38" spans="2:11" ht="20.100000000000001" customHeight="1">
      <c r="I38" s="8">
        <f t="shared" si="2"/>
        <v>129600</v>
      </c>
      <c r="J38" s="24">
        <f t="shared" si="3"/>
        <v>2.4288425047438329</v>
      </c>
      <c r="K38" s="22">
        <f t="shared" si="3"/>
        <v>2.4288425047438329</v>
      </c>
    </row>
    <row r="39" spans="2:11" ht="20.100000000000001" customHeight="1">
      <c r="I39" s="8">
        <f t="shared" si="2"/>
        <v>134400</v>
      </c>
      <c r="J39" s="24">
        <f t="shared" si="3"/>
        <v>2.5131477455998881</v>
      </c>
      <c r="K39" s="22">
        <f t="shared" si="3"/>
        <v>2.5131477455998881</v>
      </c>
    </row>
    <row r="40" spans="2:11" ht="20.100000000000001" customHeight="1">
      <c r="I40" s="8">
        <f t="shared" si="2"/>
        <v>139200</v>
      </c>
      <c r="J40" s="24">
        <f t="shared" si="3"/>
        <v>2.5970754914993357</v>
      </c>
      <c r="K40" s="22">
        <f t="shared" si="3"/>
        <v>2.5970754914993357</v>
      </c>
    </row>
    <row r="41" spans="2:11" ht="20.100000000000001" customHeight="1">
      <c r="I41" s="8">
        <f t="shared" si="2"/>
        <v>144000</v>
      </c>
      <c r="J41" s="24">
        <f t="shared" si="3"/>
        <v>2.6806282722513091</v>
      </c>
      <c r="K41" s="22">
        <f t="shared" si="3"/>
        <v>2.6806282722513091</v>
      </c>
    </row>
    <row r="42" spans="2:11" ht="20.100000000000001" customHeight="1">
      <c r="I42" s="8">
        <f t="shared" si="2"/>
        <v>148800</v>
      </c>
      <c r="J42" s="24">
        <f t="shared" si="3"/>
        <v>2.7638085951103988</v>
      </c>
      <c r="K42" s="22">
        <f t="shared" si="3"/>
        <v>2.7638085951103988</v>
      </c>
    </row>
    <row r="43" spans="2:11" ht="20.100000000000001" customHeight="1">
      <c r="I43" s="8">
        <f t="shared" si="2"/>
        <v>153600</v>
      </c>
      <c r="J43" s="24">
        <f t="shared" si="3"/>
        <v>2.8466189450274517</v>
      </c>
      <c r="K43" s="22">
        <f t="shared" si="3"/>
        <v>2.8466189450274517</v>
      </c>
    </row>
    <row r="44" spans="2:11" ht="20.100000000000001" customHeight="1">
      <c r="I44" s="8">
        <f t="shared" si="2"/>
        <v>158400</v>
      </c>
      <c r="J44" s="24">
        <f t="shared" ref="J44:K61" si="4">IFERROR(IF((J$5+1)/(J$5+($J$4/($I44-J$8)))*J$6&lt;=IF(J$7&lt;&gt;"N",J$6,999),IF((J$5+1)/(J$5+($J$4/($I44-J$8)))*J$6&gt;=0,(J$5+1)/(J$5+($J$4/($I44-J$8)))*J$6,0),J$6),0)</f>
        <v>2.9290617848970251</v>
      </c>
      <c r="K44" s="22">
        <f t="shared" si="4"/>
        <v>2.9290617848970251</v>
      </c>
    </row>
    <row r="45" spans="2:11" ht="20.100000000000001" customHeight="1">
      <c r="I45" s="8">
        <f t="shared" si="2"/>
        <v>163200</v>
      </c>
      <c r="J45" s="24">
        <f t="shared" si="4"/>
        <v>3.0111395558015634</v>
      </c>
      <c r="K45" s="22">
        <f t="shared" si="4"/>
        <v>3.0111395558015634</v>
      </c>
    </row>
    <row r="46" spans="2:11" ht="20.100000000000001" customHeight="1">
      <c r="I46" s="8">
        <f t="shared" si="2"/>
        <v>168000</v>
      </c>
      <c r="J46" s="24">
        <f t="shared" si="4"/>
        <v>3.0928546772523298</v>
      </c>
      <c r="K46" s="22">
        <f t="shared" si="4"/>
        <v>3.0928546772523298</v>
      </c>
    </row>
    <row r="47" spans="2:11" ht="20.100000000000001" customHeight="1">
      <c r="I47" s="8">
        <f t="shared" si="2"/>
        <v>172800</v>
      </c>
      <c r="J47" s="24">
        <f t="shared" si="4"/>
        <v>3.1742095474271546</v>
      </c>
      <c r="K47" s="22">
        <f t="shared" si="4"/>
        <v>3.1742095474271546</v>
      </c>
    </row>
    <row r="48" spans="2:11" ht="20.100000000000001" customHeight="1">
      <c r="I48" s="8">
        <f t="shared" si="2"/>
        <v>177600</v>
      </c>
      <c r="J48" s="24">
        <f t="shared" si="4"/>
        <v>3.2552065434050448</v>
      </c>
      <c r="K48" s="22">
        <f t="shared" si="4"/>
        <v>3.2552065434050448</v>
      </c>
    </row>
    <row r="49" spans="9:11" ht="20.100000000000001" customHeight="1">
      <c r="I49" s="8">
        <f t="shared" si="2"/>
        <v>182400</v>
      </c>
      <c r="J49" s="24">
        <f t="shared" si="4"/>
        <v>3.3358480213977093</v>
      </c>
      <c r="K49" s="22">
        <f t="shared" si="4"/>
        <v>3.3358480213977093</v>
      </c>
    </row>
    <row r="50" spans="9:11" ht="20.100000000000001" customHeight="1">
      <c r="I50" s="8">
        <f t="shared" si="2"/>
        <v>187200</v>
      </c>
      <c r="J50" s="24">
        <f t="shared" si="4"/>
        <v>3.416136316978033</v>
      </c>
      <c r="K50" s="22">
        <f t="shared" si="4"/>
        <v>3.416136316978033</v>
      </c>
    </row>
    <row r="51" spans="9:11" ht="20.100000000000001" customHeight="1">
      <c r="I51" s="8">
        <f t="shared" si="2"/>
        <v>192000</v>
      </c>
      <c r="J51" s="24">
        <f t="shared" si="4"/>
        <v>3.4960737453055653</v>
      </c>
      <c r="K51" s="22">
        <f t="shared" si="4"/>
        <v>3.4960737453055653</v>
      </c>
    </row>
    <row r="52" spans="9:11" ht="20.100000000000001" customHeight="1">
      <c r="I52" s="8">
        <f t="shared" si="2"/>
        <v>196800</v>
      </c>
      <c r="J52" s="24">
        <f t="shared" si="4"/>
        <v>3.5756626013490496</v>
      </c>
      <c r="K52" s="22">
        <f t="shared" si="4"/>
        <v>3.5756626013490496</v>
      </c>
    </row>
    <row r="53" spans="9:11" ht="20.100000000000001" customHeight="1">
      <c r="I53" s="8">
        <f t="shared" si="2"/>
        <v>201600</v>
      </c>
      <c r="J53" s="24">
        <f t="shared" si="4"/>
        <v>3.654905160106058</v>
      </c>
      <c r="K53" s="22">
        <f t="shared" si="4"/>
        <v>3.654905160106058</v>
      </c>
    </row>
    <row r="54" spans="9:11" ht="20.100000000000001" customHeight="1">
      <c r="I54" s="8">
        <f t="shared" si="2"/>
        <v>206400</v>
      </c>
      <c r="J54" s="24">
        <f t="shared" si="4"/>
        <v>3.7338036768197544</v>
      </c>
      <c r="K54" s="22">
        <f t="shared" si="4"/>
        <v>3.7338036768197544</v>
      </c>
    </row>
    <row r="55" spans="9:11" ht="20.100000000000001" customHeight="1">
      <c r="I55" s="8">
        <f t="shared" si="2"/>
        <v>211200</v>
      </c>
      <c r="J55" s="24">
        <f t="shared" si="4"/>
        <v>3.812360387192852</v>
      </c>
      <c r="K55" s="22">
        <f t="shared" si="4"/>
        <v>3.812360387192852</v>
      </c>
    </row>
    <row r="56" spans="9:11" ht="20.100000000000001" customHeight="1">
      <c r="I56" s="8">
        <f t="shared" si="2"/>
        <v>216000</v>
      </c>
      <c r="J56" s="24">
        <f t="shared" si="4"/>
        <v>3.8905775075987843</v>
      </c>
      <c r="K56" s="22">
        <f t="shared" si="4"/>
        <v>3.8905775075987843</v>
      </c>
    </row>
    <row r="57" spans="9:11" ht="20.100000000000001" customHeight="1">
      <c r="I57" s="8">
        <f t="shared" si="2"/>
        <v>220800</v>
      </c>
      <c r="J57" s="24">
        <f t="shared" si="4"/>
        <v>3.968457235290153</v>
      </c>
      <c r="K57" s="22">
        <f t="shared" si="4"/>
        <v>3.968457235290153</v>
      </c>
    </row>
    <row r="58" spans="9:11" ht="20.100000000000001" customHeight="1">
      <c r="I58" s="8">
        <f t="shared" si="2"/>
        <v>225600</v>
      </c>
      <c r="J58" s="24">
        <f t="shared" si="4"/>
        <v>4</v>
      </c>
      <c r="K58" s="22">
        <f t="shared" si="4"/>
        <v>4</v>
      </c>
    </row>
    <row r="59" spans="9:11" ht="20.100000000000001" customHeight="1">
      <c r="I59" s="8">
        <f t="shared" si="2"/>
        <v>230400</v>
      </c>
      <c r="J59" s="24">
        <f t="shared" si="4"/>
        <v>4</v>
      </c>
      <c r="K59" s="22">
        <f t="shared" si="4"/>
        <v>4</v>
      </c>
    </row>
    <row r="60" spans="9:11" ht="20.100000000000001" customHeight="1">
      <c r="I60" s="8">
        <f>$I$11+($I$61-$I$11)/(ROW($I$61)-ROW($I$11))*(ROW($I60)-ROW($I$11))</f>
        <v>235200</v>
      </c>
      <c r="J60" s="24">
        <f t="shared" si="4"/>
        <v>4</v>
      </c>
      <c r="K60" s="22">
        <f t="shared" si="4"/>
        <v>4</v>
      </c>
    </row>
    <row r="61" spans="9:11" ht="20.100000000000001" customHeight="1">
      <c r="I61" s="9">
        <f>$D$27</f>
        <v>240000</v>
      </c>
      <c r="J61" s="24">
        <f t="shared" si="4"/>
        <v>4</v>
      </c>
      <c r="K61" s="22">
        <f t="shared" si="4"/>
        <v>4</v>
      </c>
    </row>
    <row r="62" spans="9:11" ht="20.100000000000001" customHeight="1">
      <c r="I62" s="1"/>
    </row>
  </sheetData>
  <mergeCells count="2">
    <mergeCell ref="B1:G1"/>
    <mergeCell ref="B27:C27"/>
  </mergeCells>
  <conditionalFormatting sqref="B3:G12">
    <cfRule type="expression" dxfId="14" priority="2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2"/>
  <sheetViews>
    <sheetView zoomScaleNormal="100" workbookViewId="0" xr3:uid="{7BE570AB-09E9-518F-B8F7-3F91B7162CA9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2" ht="20.100000000000001" customHeight="1">
      <c r="B1" s="44" t="s">
        <v>29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2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2" ht="20.100000000000001" customHeight="1">
      <c r="A3" s="3" t="str">
        <f t="shared" ref="A3:A9" si="0">IF(AND($J$1&gt;=$B3,$J$1&lt;=$C3),"&gt;","")</f>
        <v/>
      </c>
      <c r="B3" s="5">
        <v>1</v>
      </c>
      <c r="C3" s="5">
        <v>20</v>
      </c>
      <c r="D3" s="10">
        <v>2.5</v>
      </c>
      <c r="E3" s="14">
        <v>0.15</v>
      </c>
      <c r="F3" s="10">
        <v>112.5</v>
      </c>
      <c r="G3" s="7"/>
      <c r="J3" s="34" t="s">
        <v>9</v>
      </c>
      <c r="K3" s="17" t="s">
        <v>10</v>
      </c>
    </row>
    <row r="4" spans="1:12" ht="20.100000000000001" customHeight="1">
      <c r="A4" s="3" t="str">
        <f t="shared" si="0"/>
        <v/>
      </c>
      <c r="B4" s="5">
        <v>21</v>
      </c>
      <c r="C4" s="5">
        <v>50</v>
      </c>
      <c r="D4" s="10">
        <v>2.5</v>
      </c>
      <c r="E4" s="14">
        <v>0.15</v>
      </c>
      <c r="F4" s="10">
        <v>75</v>
      </c>
      <c r="G4" s="7">
        <v>750</v>
      </c>
      <c r="I4" s="27" t="s">
        <v>11</v>
      </c>
      <c r="J4" s="28">
        <f>SUMPRODUCT(($A$3:$A$102="&gt;")*($F$3:$F$102))*$J$1+SUMPRODUCT(($A$3:$A$102="&gt;")*($G$3:$G$102))+J$8</f>
        <v>190000.00000000023</v>
      </c>
      <c r="K4" s="18">
        <f>SUMPRODUCT(($A$3:$A$102="&gt;")*($F$3:$F$102))*$J$1+SUMPRODUCT(($A$3:$A$102="&gt;")*($G$3:$G$102))+K$8</f>
        <v>194600.00000000023</v>
      </c>
    </row>
    <row r="5" spans="1:12" ht="20.100000000000001" customHeight="1">
      <c r="A5" s="3" t="str">
        <f t="shared" si="0"/>
        <v/>
      </c>
      <c r="B5" s="5">
        <v>51</v>
      </c>
      <c r="C5" s="5">
        <v>84</v>
      </c>
      <c r="D5" s="10">
        <v>2.5</v>
      </c>
      <c r="E5" s="14">
        <v>0.17</v>
      </c>
      <c r="F5" s="10">
        <v>775</v>
      </c>
      <c r="G5" s="7">
        <v>-34250</v>
      </c>
      <c r="I5" s="27" t="s">
        <v>5</v>
      </c>
      <c r="J5" s="29">
        <f>SUMPRODUCT(($A$3:$A$102="&gt;")*($D$3:$D$102))</f>
        <v>2.5</v>
      </c>
      <c r="K5" s="19">
        <f>$J5</f>
        <v>2.5</v>
      </c>
    </row>
    <row r="6" spans="1:12" ht="20.100000000000001" customHeight="1">
      <c r="A6" s="3" t="str">
        <f t="shared" si="0"/>
        <v/>
      </c>
      <c r="B6" s="5">
        <v>85</v>
      </c>
      <c r="C6" s="5">
        <v>95</v>
      </c>
      <c r="D6" s="10">
        <v>2.5</v>
      </c>
      <c r="E6" s="14">
        <v>0.2</v>
      </c>
      <c r="F6" s="10">
        <v>775</v>
      </c>
      <c r="G6" s="7">
        <v>-34250</v>
      </c>
      <c r="I6" s="27" t="s">
        <v>6</v>
      </c>
      <c r="J6" s="30">
        <f>SUMPRODUCT(($A$3:$A$102="&gt;")*($E$3:$E$102))</f>
        <v>0.35</v>
      </c>
      <c r="K6" s="20">
        <f>$J6</f>
        <v>0.35</v>
      </c>
    </row>
    <row r="7" spans="1:12" ht="20.100000000000001" customHeight="1">
      <c r="A7" s="3" t="str">
        <f t="shared" si="0"/>
        <v/>
      </c>
      <c r="B7" s="5">
        <v>96</v>
      </c>
      <c r="C7" s="5">
        <v>104</v>
      </c>
      <c r="D7" s="10">
        <v>2.5</v>
      </c>
      <c r="E7" s="14">
        <v>0.35</v>
      </c>
      <c r="F7" s="10">
        <v>775</v>
      </c>
      <c r="G7" s="7">
        <v>-34250</v>
      </c>
      <c r="I7" s="27" t="s">
        <v>12</v>
      </c>
      <c r="J7" s="31" t="s">
        <v>13</v>
      </c>
      <c r="K7" s="26" t="str">
        <f>$J7</f>
        <v>Y</v>
      </c>
    </row>
    <row r="8" spans="1:12" ht="20.100000000000001" customHeight="1">
      <c r="A8" s="3" t="str">
        <f t="shared" si="0"/>
        <v/>
      </c>
      <c r="B8" s="5">
        <v>105</v>
      </c>
      <c r="C8" s="5">
        <v>105</v>
      </c>
      <c r="D8" s="10">
        <v>2.5</v>
      </c>
      <c r="E8" s="14">
        <v>0.35</v>
      </c>
      <c r="F8" s="10">
        <f>9500/21</f>
        <v>452.38095238095241</v>
      </c>
      <c r="G8" s="7"/>
      <c r="I8" s="32" t="s">
        <v>14</v>
      </c>
      <c r="J8" s="33">
        <v>0</v>
      </c>
      <c r="K8" s="21">
        <f>$J$1*40</f>
        <v>4600</v>
      </c>
    </row>
    <row r="9" spans="1:12" ht="20.100000000000001" customHeight="1">
      <c r="A9" s="3" t="str">
        <f t="shared" si="0"/>
        <v>&gt;</v>
      </c>
      <c r="B9" s="5">
        <v>106</v>
      </c>
      <c r="C9" s="5">
        <v>115</v>
      </c>
      <c r="D9" s="10">
        <v>2.5</v>
      </c>
      <c r="E9" s="14">
        <v>0.35</v>
      </c>
      <c r="F9" s="10">
        <f>118750/9</f>
        <v>13194.444444444445</v>
      </c>
      <c r="G9" s="7">
        <f>-11946250/9</f>
        <v>-1327361.111111111</v>
      </c>
      <c r="K9" s="1"/>
    </row>
    <row r="10" spans="1:12" ht="20.100000000000001" customHeight="1">
      <c r="I10" s="4" t="s">
        <v>15</v>
      </c>
      <c r="J10" s="23" t="s">
        <v>16</v>
      </c>
      <c r="K10" s="25" t="s">
        <v>17</v>
      </c>
    </row>
    <row r="11" spans="1:12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  <c r="L11" s="35"/>
    </row>
    <row r="12" spans="1:12" ht="20.100000000000001" customHeight="1">
      <c r="I12" s="8">
        <f t="shared" ref="I12:I59" si="1">$I$11+($I$61-$I$11)/(ROW($I$61)-ROW($I$11))*(ROW($I12)-ROW($I$11))</f>
        <v>4000</v>
      </c>
      <c r="J12" s="24">
        <f t="shared" ref="J12:K43" si="2">IFERROR(IF((J$5+1)/(J$5+($J$4/($I12-J$8)))*J$6&lt;=IF(J$7&lt;&gt;"N",J$6,999),IF((J$5+1)/(J$5+($J$4/($I12-J$8)))*J$6&gt;=0,(J$5+1)/(J$5+($J$4/($I12-J$8)))*J$6,0),J$6),0)</f>
        <v>2.4499999999999973E-2</v>
      </c>
      <c r="K12" s="22">
        <f t="shared" si="2"/>
        <v>0</v>
      </c>
      <c r="L12" s="35"/>
    </row>
    <row r="13" spans="1:12" ht="20.100000000000001" customHeight="1">
      <c r="I13" s="8">
        <f t="shared" si="1"/>
        <v>8000</v>
      </c>
      <c r="J13" s="24">
        <f t="shared" si="2"/>
        <v>4.6666666666666613E-2</v>
      </c>
      <c r="K13" s="22">
        <f t="shared" si="2"/>
        <v>2.0982367758186373E-2</v>
      </c>
      <c r="L13" s="35"/>
    </row>
    <row r="14" spans="1:12" ht="20.100000000000001" customHeight="1">
      <c r="I14" s="8">
        <f t="shared" si="1"/>
        <v>12000</v>
      </c>
      <c r="J14" s="24">
        <f t="shared" si="2"/>
        <v>6.6818181818181735E-2</v>
      </c>
      <c r="K14" s="22">
        <f t="shared" si="2"/>
        <v>4.3477218225419612E-2</v>
      </c>
      <c r="L14" s="35"/>
    </row>
    <row r="15" spans="1:12" ht="20.100000000000001" customHeight="1">
      <c r="I15" s="8">
        <f t="shared" si="1"/>
        <v>16000</v>
      </c>
      <c r="J15" s="24">
        <f t="shared" si="2"/>
        <v>8.5217391304347731E-2</v>
      </c>
      <c r="K15" s="22">
        <f t="shared" si="2"/>
        <v>6.3913043478260795E-2</v>
      </c>
      <c r="L15" s="35"/>
    </row>
    <row r="16" spans="1:12" ht="20.100000000000001" customHeight="1">
      <c r="I16" s="8">
        <f t="shared" si="1"/>
        <v>20000</v>
      </c>
      <c r="J16" s="24">
        <f t="shared" si="2"/>
        <v>0.10208333333333322</v>
      </c>
      <c r="K16" s="22">
        <f t="shared" si="2"/>
        <v>8.2560175054704504E-2</v>
      </c>
      <c r="L16" s="35"/>
    </row>
    <row r="17" spans="2:12" ht="20.100000000000001" customHeight="1">
      <c r="I17" s="8">
        <f t="shared" si="1"/>
        <v>24000</v>
      </c>
      <c r="J17" s="24">
        <f t="shared" si="2"/>
        <v>0.11759999999999989</v>
      </c>
      <c r="K17" s="22">
        <f t="shared" si="2"/>
        <v>9.9643605870020871E-2</v>
      </c>
      <c r="L17" s="35"/>
    </row>
    <row r="18" spans="2:12" ht="20.100000000000001" customHeight="1">
      <c r="I18" s="8">
        <f t="shared" si="1"/>
        <v>28000</v>
      </c>
      <c r="J18" s="24">
        <f t="shared" si="2"/>
        <v>0.13192307692307678</v>
      </c>
      <c r="K18" s="22">
        <f t="shared" si="2"/>
        <v>0.11535211267605622</v>
      </c>
      <c r="L18" s="35"/>
    </row>
    <row r="19" spans="2:12" ht="20.100000000000001" customHeight="1">
      <c r="I19" s="8">
        <f t="shared" si="1"/>
        <v>32000</v>
      </c>
      <c r="J19" s="24">
        <f t="shared" si="2"/>
        <v>0.14518518518518506</v>
      </c>
      <c r="K19" s="22">
        <f t="shared" si="2"/>
        <v>0.12984526112185674</v>
      </c>
      <c r="L19" s="35"/>
    </row>
    <row r="20" spans="2:12" ht="20.100000000000001" customHeight="1">
      <c r="I20" s="8">
        <f t="shared" si="1"/>
        <v>36000</v>
      </c>
      <c r="J20" s="24">
        <f t="shared" si="2"/>
        <v>0.15749999999999986</v>
      </c>
      <c r="K20" s="22">
        <f t="shared" si="2"/>
        <v>0.14325884543761627</v>
      </c>
      <c r="L20" s="35"/>
    </row>
    <row r="21" spans="2:12" ht="20.100000000000001" customHeight="1">
      <c r="I21" s="8">
        <f t="shared" si="1"/>
        <v>40000</v>
      </c>
      <c r="J21" s="24">
        <f t="shared" si="2"/>
        <v>0.16896551724137915</v>
      </c>
      <c r="K21" s="22">
        <f t="shared" si="2"/>
        <v>0.15570915619389572</v>
      </c>
      <c r="L21" s="35"/>
    </row>
    <row r="22" spans="2:12" ht="20.100000000000001" customHeight="1">
      <c r="I22" s="8">
        <f t="shared" si="1"/>
        <v>44000</v>
      </c>
      <c r="J22" s="24">
        <f t="shared" si="2"/>
        <v>0.17966666666666653</v>
      </c>
      <c r="K22" s="22">
        <f t="shared" si="2"/>
        <v>0.16729636048526847</v>
      </c>
      <c r="L22" s="35"/>
    </row>
    <row r="23" spans="2:12" ht="20.100000000000001" customHeight="1">
      <c r="B23" s="11"/>
      <c r="I23" s="8">
        <f t="shared" si="1"/>
        <v>48000</v>
      </c>
      <c r="J23" s="24">
        <f t="shared" si="2"/>
        <v>0.18967741935483856</v>
      </c>
      <c r="K23" s="22">
        <f t="shared" si="2"/>
        <v>0.17810720268006683</v>
      </c>
      <c r="L23" s="35"/>
    </row>
    <row r="24" spans="2:12" ht="20.100000000000001" customHeight="1">
      <c r="B24" s="42" t="s">
        <v>18</v>
      </c>
      <c r="C24" s="43"/>
      <c r="D24" s="16">
        <f>ROUNDUP(MAX($J$4:$K$4),-LEN(TEXT(MAX($J$4:$K$4),"0"))+2)</f>
        <v>200000</v>
      </c>
      <c r="I24" s="8">
        <f t="shared" si="1"/>
        <v>52000</v>
      </c>
      <c r="J24" s="24">
        <f t="shared" si="2"/>
        <v>0.19906249999999984</v>
      </c>
      <c r="K24" s="22">
        <f t="shared" si="2"/>
        <v>0.18821717990275511</v>
      </c>
      <c r="L24" s="35"/>
    </row>
    <row r="25" spans="2:12" ht="20.100000000000001" customHeight="1">
      <c r="I25" s="8">
        <f t="shared" si="1"/>
        <v>56000</v>
      </c>
      <c r="J25" s="24">
        <f t="shared" si="2"/>
        <v>0.20787878787878769</v>
      </c>
      <c r="K25" s="22">
        <f t="shared" si="2"/>
        <v>0.19769230769230753</v>
      </c>
      <c r="L25" s="35"/>
    </row>
    <row r="26" spans="2:12" ht="20.100000000000001" customHeight="1">
      <c r="I26" s="8">
        <f t="shared" si="1"/>
        <v>60000</v>
      </c>
      <c r="J26" s="24">
        <f t="shared" si="2"/>
        <v>0.21617647058823514</v>
      </c>
      <c r="K26" s="22">
        <f t="shared" si="2"/>
        <v>0.20659056316590549</v>
      </c>
      <c r="L26" s="35"/>
    </row>
    <row r="27" spans="2:12" ht="20.100000000000001" customHeight="1">
      <c r="I27" s="8">
        <f t="shared" si="1"/>
        <v>64000</v>
      </c>
      <c r="J27" s="24">
        <f t="shared" si="2"/>
        <v>0.22399999999999984</v>
      </c>
      <c r="K27" s="22">
        <f t="shared" si="2"/>
        <v>0.21496307237813869</v>
      </c>
      <c r="L27" s="35"/>
    </row>
    <row r="28" spans="2:12" ht="20.100000000000001" customHeight="1">
      <c r="I28" s="8">
        <f t="shared" si="1"/>
        <v>68000</v>
      </c>
      <c r="J28" s="24">
        <f t="shared" si="2"/>
        <v>0.2313888888888887</v>
      </c>
      <c r="K28" s="22">
        <f t="shared" si="2"/>
        <v>0.22285509325681474</v>
      </c>
      <c r="L28" s="35"/>
    </row>
    <row r="29" spans="2:12" ht="20.100000000000001" customHeight="1">
      <c r="I29" s="8">
        <f t="shared" si="1"/>
        <v>72000</v>
      </c>
      <c r="J29" s="24">
        <f t="shared" si="2"/>
        <v>0.23837837837837822</v>
      </c>
      <c r="K29" s="22">
        <f t="shared" si="2"/>
        <v>0.23030683403068322</v>
      </c>
      <c r="L29" s="35"/>
    </row>
    <row r="30" spans="2:12" ht="20.100000000000001" customHeight="1">
      <c r="B30"/>
      <c r="I30" s="8">
        <f t="shared" si="1"/>
        <v>76000</v>
      </c>
      <c r="J30" s="24">
        <f t="shared" si="2"/>
        <v>0.2449999999999998</v>
      </c>
      <c r="K30" s="22">
        <f t="shared" si="2"/>
        <v>0.23735413839891437</v>
      </c>
      <c r="L30" s="35"/>
    </row>
    <row r="31" spans="2:12" ht="20.100000000000001" customHeight="1">
      <c r="I31" s="8">
        <f t="shared" si="1"/>
        <v>80000</v>
      </c>
      <c r="J31" s="24">
        <f t="shared" si="2"/>
        <v>0.25128205128205106</v>
      </c>
      <c r="K31" s="22">
        <f t="shared" si="2"/>
        <v>0.24402906208718611</v>
      </c>
      <c r="L31" s="35"/>
    </row>
    <row r="32" spans="2:12" ht="20.100000000000001" customHeight="1">
      <c r="I32" s="8">
        <f t="shared" si="1"/>
        <v>84000</v>
      </c>
      <c r="J32" s="24">
        <f t="shared" si="2"/>
        <v>0.25724999999999981</v>
      </c>
      <c r="K32" s="22">
        <f t="shared" si="2"/>
        <v>0.25036036036036019</v>
      </c>
      <c r="L32" s="35"/>
    </row>
    <row r="33" spans="9:12" ht="20.100000000000001" customHeight="1">
      <c r="I33" s="8">
        <f t="shared" si="1"/>
        <v>88000</v>
      </c>
      <c r="J33" s="24">
        <f t="shared" si="2"/>
        <v>0.26292682926829253</v>
      </c>
      <c r="K33" s="22">
        <f t="shared" si="2"/>
        <v>0.25637390213299854</v>
      </c>
      <c r="L33" s="35"/>
    </row>
    <row r="34" spans="9:12" ht="20.100000000000001" customHeight="1">
      <c r="I34" s="8">
        <f t="shared" si="1"/>
        <v>92000</v>
      </c>
      <c r="J34" s="24">
        <f t="shared" si="2"/>
        <v>0.2683333333333332</v>
      </c>
      <c r="K34" s="22">
        <f t="shared" si="2"/>
        <v>0.2620930232558138</v>
      </c>
      <c r="L34" s="35"/>
    </row>
    <row r="35" spans="9:12" ht="20.100000000000001" customHeight="1">
      <c r="I35" s="8">
        <f t="shared" si="1"/>
        <v>96000</v>
      </c>
      <c r="J35" s="24">
        <f t="shared" si="2"/>
        <v>0.27348837209302301</v>
      </c>
      <c r="K35" s="22">
        <f t="shared" si="2"/>
        <v>0.26753882915173222</v>
      </c>
      <c r="L35" s="35"/>
    </row>
    <row r="36" spans="9:12" ht="20.100000000000001" customHeight="1">
      <c r="I36" s="8">
        <f t="shared" si="1"/>
        <v>100000</v>
      </c>
      <c r="J36" s="24">
        <f t="shared" si="2"/>
        <v>0.27840909090909077</v>
      </c>
      <c r="K36" s="22">
        <f t="shared" si="2"/>
        <v>0.27273045507584581</v>
      </c>
      <c r="L36" s="35"/>
    </row>
    <row r="37" spans="9:12" ht="20.100000000000001" customHeight="1">
      <c r="I37" s="8">
        <f t="shared" si="1"/>
        <v>104000</v>
      </c>
      <c r="J37" s="24">
        <f t="shared" si="2"/>
        <v>0.28311111111111092</v>
      </c>
      <c r="K37" s="22">
        <f t="shared" si="2"/>
        <v>0.27768529076396792</v>
      </c>
      <c r="L37" s="35"/>
    </row>
    <row r="38" spans="9:12" ht="20.100000000000001" customHeight="1">
      <c r="I38" s="8">
        <f t="shared" si="1"/>
        <v>108000</v>
      </c>
      <c r="J38" s="24">
        <f t="shared" si="2"/>
        <v>0.28760869565217373</v>
      </c>
      <c r="K38" s="22">
        <f t="shared" si="2"/>
        <v>0.28241917502787051</v>
      </c>
      <c r="L38" s="35"/>
    </row>
    <row r="39" spans="9:12" ht="20.100000000000001" customHeight="1">
      <c r="I39" s="8">
        <f t="shared" si="1"/>
        <v>112000</v>
      </c>
      <c r="J39" s="24">
        <f t="shared" si="2"/>
        <v>0.29191489361702111</v>
      </c>
      <c r="K39" s="22">
        <f t="shared" si="2"/>
        <v>0.28694656488549597</v>
      </c>
      <c r="L39" s="35"/>
    </row>
    <row r="40" spans="9:12" ht="20.100000000000001" customHeight="1">
      <c r="I40" s="8">
        <f t="shared" si="1"/>
        <v>116000</v>
      </c>
      <c r="J40" s="24">
        <f t="shared" si="2"/>
        <v>0.29604166666666648</v>
      </c>
      <c r="K40" s="22">
        <f t="shared" si="2"/>
        <v>0.29128068303094973</v>
      </c>
      <c r="L40" s="35"/>
    </row>
    <row r="41" spans="9:12" ht="20.100000000000001" customHeight="1">
      <c r="I41" s="8">
        <f t="shared" si="1"/>
        <v>120000</v>
      </c>
      <c r="J41" s="24">
        <f t="shared" si="2"/>
        <v>0.29999999999999982</v>
      </c>
      <c r="K41" s="22">
        <f t="shared" si="2"/>
        <v>0.29543364681295697</v>
      </c>
      <c r="L41" s="35"/>
    </row>
    <row r="42" spans="9:12" ht="20.100000000000001" customHeight="1">
      <c r="I42" s="8">
        <f t="shared" si="1"/>
        <v>124000</v>
      </c>
      <c r="J42" s="24">
        <f t="shared" si="2"/>
        <v>0.30379999999999985</v>
      </c>
      <c r="K42" s="22">
        <f t="shared" si="2"/>
        <v>0.29941658137154542</v>
      </c>
      <c r="L42" s="35"/>
    </row>
    <row r="43" spans="9:12" ht="20.100000000000001" customHeight="1">
      <c r="I43" s="8">
        <f t="shared" si="1"/>
        <v>128000</v>
      </c>
      <c r="J43" s="24">
        <f t="shared" si="2"/>
        <v>0.30745098039215674</v>
      </c>
      <c r="K43" s="22">
        <f t="shared" si="2"/>
        <v>0.30323971915747228</v>
      </c>
      <c r="L43" s="35"/>
    </row>
    <row r="44" spans="9:12" ht="20.100000000000001" customHeight="1">
      <c r="I44" s="8">
        <f t="shared" si="1"/>
        <v>132000</v>
      </c>
      <c r="J44" s="24">
        <f t="shared" ref="J44:K61" si="3">IFERROR(IF((J$5+1)/(J$5+($J$4/($I44-J$8)))*J$6&lt;=IF(J$7&lt;&gt;"N",J$6,999),IF((J$5+1)/(J$5+($J$4/($I44-J$8)))*J$6&gt;=0,(J$5+1)/(J$5+($J$4/($I44-J$8)))*J$6,0),J$6),0)</f>
        <v>0.31096153846153829</v>
      </c>
      <c r="K44" s="22">
        <f t="shared" si="3"/>
        <v>0.30691248770894775</v>
      </c>
      <c r="L44" s="35"/>
    </row>
    <row r="45" spans="9:12" ht="20.100000000000001" customHeight="1">
      <c r="I45" s="8">
        <f t="shared" si="1"/>
        <v>136000</v>
      </c>
      <c r="J45" s="24">
        <f t="shared" si="3"/>
        <v>0.31433962264150928</v>
      </c>
      <c r="K45" s="22">
        <f t="shared" si="3"/>
        <v>0.31044358727097382</v>
      </c>
      <c r="L45" s="35"/>
    </row>
    <row r="46" spans="9:12" ht="20.100000000000001" customHeight="1">
      <c r="I46" s="8">
        <f t="shared" si="1"/>
        <v>140000</v>
      </c>
      <c r="J46" s="24">
        <f t="shared" si="3"/>
        <v>0.31759259259259248</v>
      </c>
      <c r="K46" s="22">
        <f t="shared" si="3"/>
        <v>0.31384105960264885</v>
      </c>
      <c r="L46" s="35"/>
    </row>
    <row r="47" spans="9:12" ht="20.100000000000001" customHeight="1">
      <c r="I47" s="8">
        <f t="shared" si="1"/>
        <v>144000</v>
      </c>
      <c r="J47" s="24">
        <f t="shared" si="3"/>
        <v>0.32072727272727258</v>
      </c>
      <c r="K47" s="22">
        <f t="shared" si="3"/>
        <v>0.31711234911792002</v>
      </c>
      <c r="L47" s="35"/>
    </row>
    <row r="48" spans="9:12" ht="20.100000000000001" customHeight="1">
      <c r="I48" s="8">
        <f t="shared" si="1"/>
        <v>148000</v>
      </c>
      <c r="J48" s="24">
        <f t="shared" si="3"/>
        <v>0.32374999999999987</v>
      </c>
      <c r="K48" s="22">
        <f t="shared" si="3"/>
        <v>0.32026435733819492</v>
      </c>
      <c r="L48" s="35"/>
    </row>
    <row r="49" spans="9:12" ht="20.100000000000001" customHeight="1">
      <c r="I49" s="8">
        <f t="shared" si="1"/>
        <v>152000</v>
      </c>
      <c r="J49" s="24">
        <f t="shared" si="3"/>
        <v>0.32666666666666649</v>
      </c>
      <c r="K49" s="22">
        <f t="shared" si="3"/>
        <v>0.32330349149507592</v>
      </c>
      <c r="L49" s="35"/>
    </row>
    <row r="50" spans="9:12" ht="20.100000000000001" customHeight="1">
      <c r="I50" s="8">
        <f t="shared" si="1"/>
        <v>156000</v>
      </c>
      <c r="J50" s="24">
        <f t="shared" si="3"/>
        <v>0.32948275862068954</v>
      </c>
      <c r="K50" s="22">
        <f t="shared" si="3"/>
        <v>0.32623570800351787</v>
      </c>
      <c r="L50" s="35"/>
    </row>
    <row r="51" spans="9:12" ht="20.100000000000001" customHeight="1">
      <c r="I51" s="8">
        <f t="shared" si="1"/>
        <v>160000</v>
      </c>
      <c r="J51" s="24">
        <f t="shared" si="3"/>
        <v>0.33220338983050829</v>
      </c>
      <c r="K51" s="22">
        <f t="shared" si="3"/>
        <v>0.32906655142610186</v>
      </c>
      <c r="L51" s="35"/>
    </row>
    <row r="52" spans="9:12" ht="20.100000000000001" customHeight="1">
      <c r="I52" s="8">
        <f t="shared" si="1"/>
        <v>164000</v>
      </c>
      <c r="J52" s="24">
        <f t="shared" si="3"/>
        <v>0.33483333333333321</v>
      </c>
      <c r="K52" s="22">
        <f t="shared" si="3"/>
        <v>0.33180118946474069</v>
      </c>
      <c r="L52" s="35"/>
    </row>
    <row r="53" spans="9:12" ht="20.100000000000001" customHeight="1">
      <c r="I53" s="8">
        <f t="shared" si="1"/>
        <v>168000</v>
      </c>
      <c r="J53" s="24">
        <f t="shared" si="3"/>
        <v>0.33737704918032774</v>
      </c>
      <c r="K53" s="22">
        <f t="shared" si="3"/>
        <v>0.33444444444444432</v>
      </c>
      <c r="L53" s="35"/>
    </row>
    <row r="54" spans="9:12" ht="20.100000000000001" customHeight="1">
      <c r="I54" s="8">
        <f t="shared" si="1"/>
        <v>172000</v>
      </c>
      <c r="J54" s="24">
        <f t="shared" si="3"/>
        <v>0.33983870967741925</v>
      </c>
      <c r="K54" s="22">
        <f t="shared" si="3"/>
        <v>0.33700082169268675</v>
      </c>
      <c r="L54" s="35"/>
    </row>
    <row r="55" spans="9:12" ht="20.100000000000001" customHeight="1">
      <c r="I55" s="8">
        <f t="shared" si="1"/>
        <v>176000</v>
      </c>
      <c r="J55" s="24">
        <f t="shared" si="3"/>
        <v>0.34222222222222209</v>
      </c>
      <c r="K55" s="22">
        <f t="shared" si="3"/>
        <v>0.3394745351657234</v>
      </c>
      <c r="L55" s="35"/>
    </row>
    <row r="56" spans="9:12" ht="20.100000000000001" customHeight="1">
      <c r="I56" s="8">
        <f t="shared" si="1"/>
        <v>180000</v>
      </c>
      <c r="J56" s="24">
        <f t="shared" si="3"/>
        <v>0.34453124999999984</v>
      </c>
      <c r="K56" s="22">
        <f t="shared" si="3"/>
        <v>0.34186953062848036</v>
      </c>
      <c r="L56" s="35"/>
    </row>
    <row r="57" spans="9:12" ht="20.100000000000001" customHeight="1">
      <c r="I57" s="8">
        <f t="shared" si="1"/>
        <v>184000</v>
      </c>
      <c r="J57" s="24">
        <f t="shared" si="3"/>
        <v>0.34676923076923061</v>
      </c>
      <c r="K57" s="22">
        <f t="shared" si="3"/>
        <v>0.34418950665622539</v>
      </c>
      <c r="L57" s="35"/>
    </row>
    <row r="58" spans="9:12" ht="20.100000000000001" customHeight="1">
      <c r="I58" s="8">
        <f t="shared" si="1"/>
        <v>188000</v>
      </c>
      <c r="J58" s="24">
        <f t="shared" si="3"/>
        <v>0.34893939393939377</v>
      </c>
      <c r="K58" s="22">
        <f t="shared" si="3"/>
        <v>0.34643793369313786</v>
      </c>
      <c r="L58" s="35"/>
    </row>
    <row r="59" spans="9:12" ht="20.100000000000001" customHeight="1">
      <c r="I59" s="8">
        <f t="shared" si="1"/>
        <v>192000</v>
      </c>
      <c r="J59" s="24">
        <f t="shared" si="3"/>
        <v>0.35</v>
      </c>
      <c r="K59" s="22">
        <f t="shared" si="3"/>
        <v>0.34861807137433548</v>
      </c>
      <c r="L59" s="35"/>
    </row>
    <row r="60" spans="9:12" ht="20.100000000000001" customHeight="1">
      <c r="I60" s="8">
        <f>$I$11+($I$61-$I$11)/(ROW($I$61)-ROW($I$11))*(ROW($I60)-ROW($I$11))</f>
        <v>196000</v>
      </c>
      <c r="J60" s="24">
        <f t="shared" si="3"/>
        <v>0.35</v>
      </c>
      <c r="K60" s="22">
        <f t="shared" si="3"/>
        <v>0.35</v>
      </c>
      <c r="L60" s="35"/>
    </row>
    <row r="61" spans="9:12" ht="20.100000000000001" customHeight="1">
      <c r="I61" s="9">
        <f>$D$24</f>
        <v>200000</v>
      </c>
      <c r="J61" s="24">
        <f t="shared" si="3"/>
        <v>0.35</v>
      </c>
      <c r="K61" s="22">
        <f t="shared" si="3"/>
        <v>0.35</v>
      </c>
      <c r="L61" s="35"/>
    </row>
    <row r="62" spans="9:12" ht="20.100000000000001" customHeight="1">
      <c r="I62" s="1"/>
    </row>
  </sheetData>
  <mergeCells count="2">
    <mergeCell ref="B1:G1"/>
    <mergeCell ref="B24:C24"/>
  </mergeCells>
  <conditionalFormatting sqref="B3:G9">
    <cfRule type="expression" dxfId="5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2"/>
  <sheetViews>
    <sheetView workbookViewId="0" xr3:uid="{65FA3815-DCC1-5481-872F-D2879ED395ED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2" ht="20.100000000000001" customHeight="1">
      <c r="B1" s="44" t="s">
        <v>30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2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2" ht="20.100000000000001" customHeight="1">
      <c r="A3" s="3" t="str">
        <f t="shared" ref="A3:A7" si="0">IF(AND($J$1&gt;=$B3,$J$1&lt;=$C3),"&gt;","")</f>
        <v/>
      </c>
      <c r="B3" s="5">
        <v>1</v>
      </c>
      <c r="C3" s="5">
        <v>20</v>
      </c>
      <c r="D3" s="10">
        <v>50</v>
      </c>
      <c r="E3" s="14">
        <v>0.5</v>
      </c>
      <c r="F3" s="10">
        <v>3500</v>
      </c>
      <c r="G3" s="7"/>
      <c r="J3" s="34" t="s">
        <v>9</v>
      </c>
      <c r="K3" s="17" t="s">
        <v>10</v>
      </c>
    </row>
    <row r="4" spans="1:12" ht="20.100000000000001" customHeight="1">
      <c r="A4" s="3" t="str">
        <f t="shared" si="0"/>
        <v/>
      </c>
      <c r="B4" s="5">
        <v>21</v>
      </c>
      <c r="C4" s="5">
        <v>49</v>
      </c>
      <c r="D4" s="10">
        <v>50</v>
      </c>
      <c r="E4" s="14">
        <v>0.5</v>
      </c>
      <c r="F4" s="10">
        <v>3650</v>
      </c>
      <c r="G4" s="7">
        <v>-3000</v>
      </c>
      <c r="I4" s="27" t="s">
        <v>11</v>
      </c>
      <c r="J4" s="28">
        <f>SUMPRODUCT(($A$3:$A$100="&gt;")*($F$3:$F$100))*$J$1+SUMPRODUCT(($A$3:$A$100="&gt;")*($G$3:$G$100))+J$8</f>
        <v>1150000</v>
      </c>
      <c r="K4" s="18">
        <f>SUMPRODUCT(($A$3:$A$100="&gt;")*($F$3:$F$100))*$J$1+SUMPRODUCT(($A$3:$A$100="&gt;")*($G$3:$G$100))+K$8</f>
        <v>1154600</v>
      </c>
    </row>
    <row r="5" spans="1:12" ht="20.100000000000001" customHeight="1">
      <c r="A5" s="3" t="str">
        <f t="shared" si="0"/>
        <v/>
      </c>
      <c r="B5" s="5">
        <v>50</v>
      </c>
      <c r="C5" s="5">
        <v>104</v>
      </c>
      <c r="D5" s="10">
        <v>50</v>
      </c>
      <c r="E5" s="14">
        <v>0.5</v>
      </c>
      <c r="F5" s="10">
        <v>1950</v>
      </c>
      <c r="G5" s="7">
        <v>82500</v>
      </c>
      <c r="I5" s="27" t="s">
        <v>5</v>
      </c>
      <c r="J5" s="29">
        <f>SUMPRODUCT(($A$3:$A$100="&gt;")*($D$3:$D$100))</f>
        <v>50</v>
      </c>
      <c r="K5" s="19">
        <f>$J5</f>
        <v>50</v>
      </c>
    </row>
    <row r="6" spans="1:12" ht="20.100000000000001" customHeight="1">
      <c r="A6" s="3" t="str">
        <f t="shared" si="0"/>
        <v/>
      </c>
      <c r="B6" s="5">
        <v>105</v>
      </c>
      <c r="C6" s="5">
        <v>105</v>
      </c>
      <c r="D6" s="10">
        <v>50</v>
      </c>
      <c r="E6" s="14">
        <v>0.5</v>
      </c>
      <c r="F6" s="10">
        <f>57500/9</f>
        <v>6388.8888888888887</v>
      </c>
      <c r="G6" s="7"/>
      <c r="I6" s="27" t="s">
        <v>6</v>
      </c>
      <c r="J6" s="30">
        <f>SUMPRODUCT(($A$3:$A$100="&gt;")*($E$3:$E$100))</f>
        <v>0.5</v>
      </c>
      <c r="K6" s="20">
        <f>$J6</f>
        <v>0.5</v>
      </c>
    </row>
    <row r="7" spans="1:12" ht="20.100000000000001" customHeight="1">
      <c r="A7" s="3" t="str">
        <f t="shared" si="0"/>
        <v>&gt;</v>
      </c>
      <c r="B7" s="5">
        <v>106</v>
      </c>
      <c r="C7" s="5">
        <v>115</v>
      </c>
      <c r="D7" s="10">
        <v>50</v>
      </c>
      <c r="E7" s="14">
        <v>0.5</v>
      </c>
      <c r="F7" s="10">
        <f>718750/9</f>
        <v>79861.111111111109</v>
      </c>
      <c r="G7" s="7">
        <f>-72306250/9</f>
        <v>-8034027.777777778</v>
      </c>
      <c r="I7" s="27" t="s">
        <v>12</v>
      </c>
      <c r="J7" s="31" t="s">
        <v>23</v>
      </c>
      <c r="K7" s="26" t="str">
        <f>$J7</f>
        <v>N</v>
      </c>
    </row>
    <row r="8" spans="1:12" ht="20.100000000000001" customHeight="1">
      <c r="I8" s="32" t="s">
        <v>14</v>
      </c>
      <c r="J8" s="33">
        <v>0</v>
      </c>
      <c r="K8" s="21">
        <f>$J$1*40</f>
        <v>4600</v>
      </c>
    </row>
    <row r="9" spans="1:12" ht="20.100000000000001" customHeight="1">
      <c r="K9" s="1"/>
    </row>
    <row r="10" spans="1:12" ht="20.100000000000001" customHeight="1">
      <c r="I10" s="4" t="s">
        <v>15</v>
      </c>
      <c r="J10" s="23" t="s">
        <v>16</v>
      </c>
      <c r="K10" s="25" t="s">
        <v>17</v>
      </c>
    </row>
    <row r="11" spans="1:12" ht="20.100000000000001" customHeight="1">
      <c r="I11" s="8">
        <v>0</v>
      </c>
      <c r="J11" s="24">
        <f>IFERROR(IF((J$5+1)/(J$5+($J$4/($I11-J$8)))*J$6+0.1&lt;=IF(J$7&lt;&gt;"N",J$6,999),IF((J$5+1)/(J$5+($J$4/($I11-J$8)))*J$6+0.1&gt;=0.1,(J$5+1)/(J$5+($J$4/($I11-J$8)))*J$6+0.1,0.1),J$6),0.1)</f>
        <v>0.1</v>
      </c>
      <c r="K11" s="22">
        <f>IFERROR(IF((K$5+1)/(K$5+($J$4/($I11-K$8)))*K$6+0.1&lt;=IF(K$7&lt;&gt;"N",K$6,999),IF((K$5+1)/(K$5+($J$4/($I11-K$8)))*K$6+0.1&gt;=0.1,(K$5+1)/(K$5+($J$4/($I11-K$8)))*K$6+0.1,0.1),K$6),0.1)</f>
        <v>0.1</v>
      </c>
      <c r="L11" s="35"/>
    </row>
    <row r="12" spans="1:12" ht="20.100000000000001" customHeight="1">
      <c r="I12" s="8">
        <f t="shared" ref="I12:I59" si="1">$I$11+($I$61-$I$11)/(ROW($I$61)-ROW($I$11))*(ROW($I12)-ROW($I$11))</f>
        <v>2600</v>
      </c>
      <c r="J12" s="24">
        <f t="shared" ref="J12:K43" si="2">IFERROR(IF((J$5+1)/(J$5+($J$4/($I12-J$8)))*J$6+0.1&lt;=IF(J$7&lt;&gt;"N",J$6,999),IF((J$5+1)/(J$5+($J$4/($I12-J$8)))*J$6+0.1&gt;=0.1,(J$5+1)/(J$5+($J$4/($I12-J$8)))*J$6+0.1,0.1),J$6),0.1)</f>
        <v>0.151796875</v>
      </c>
      <c r="K12" s="22">
        <f t="shared" si="2"/>
        <v>0.1</v>
      </c>
      <c r="L12" s="35"/>
    </row>
    <row r="13" spans="1:12" ht="20.100000000000001" customHeight="1">
      <c r="I13" s="8">
        <f t="shared" si="1"/>
        <v>5200</v>
      </c>
      <c r="J13" s="24">
        <f t="shared" si="2"/>
        <v>0.19404255319148936</v>
      </c>
      <c r="K13" s="22">
        <f t="shared" si="2"/>
        <v>0.11296610169491526</v>
      </c>
      <c r="L13" s="35"/>
    </row>
    <row r="14" spans="1:12" ht="20.100000000000001" customHeight="1">
      <c r="I14" s="8">
        <f t="shared" si="1"/>
        <v>7800</v>
      </c>
      <c r="J14" s="24">
        <f t="shared" si="2"/>
        <v>0.22915584415584417</v>
      </c>
      <c r="K14" s="22">
        <f t="shared" si="2"/>
        <v>0.16229007633587786</v>
      </c>
      <c r="L14" s="35"/>
    </row>
    <row r="15" spans="1:12" ht="20.100000000000001" customHeight="1">
      <c r="I15" s="8">
        <f t="shared" si="1"/>
        <v>10400</v>
      </c>
      <c r="J15" s="24">
        <f t="shared" si="2"/>
        <v>0.25880239520958082</v>
      </c>
      <c r="K15" s="22">
        <f t="shared" si="2"/>
        <v>0.20270833333333332</v>
      </c>
      <c r="L15" s="35"/>
    </row>
    <row r="16" spans="1:12" ht="20.100000000000001" customHeight="1">
      <c r="I16" s="8">
        <f t="shared" si="1"/>
        <v>13000</v>
      </c>
      <c r="J16" s="24">
        <f t="shared" si="2"/>
        <v>0.28416666666666668</v>
      </c>
      <c r="K16" s="22">
        <f t="shared" si="2"/>
        <v>0.23643312101910829</v>
      </c>
      <c r="L16" s="35"/>
    </row>
    <row r="17" spans="2:12" ht="20.100000000000001" customHeight="1">
      <c r="I17" s="8">
        <f t="shared" si="1"/>
        <v>15600</v>
      </c>
      <c r="J17" s="24">
        <f t="shared" si="2"/>
        <v>0.30611398963730574</v>
      </c>
      <c r="K17" s="22">
        <f t="shared" si="2"/>
        <v>0.26500000000000001</v>
      </c>
      <c r="L17" s="35"/>
    </row>
    <row r="18" spans="2:12" ht="20.100000000000001" customHeight="1">
      <c r="I18" s="8">
        <f t="shared" si="1"/>
        <v>18200</v>
      </c>
      <c r="J18" s="24">
        <f t="shared" si="2"/>
        <v>0.3252912621359223</v>
      </c>
      <c r="K18" s="22">
        <f t="shared" si="2"/>
        <v>0.28950819672131145</v>
      </c>
      <c r="L18" s="35"/>
    </row>
    <row r="19" spans="2:12" ht="20.100000000000001" customHeight="1">
      <c r="I19" s="8">
        <f t="shared" si="1"/>
        <v>20800</v>
      </c>
      <c r="J19" s="24">
        <f t="shared" si="2"/>
        <v>0.34219178082191781</v>
      </c>
      <c r="K19" s="22">
        <f t="shared" si="2"/>
        <v>0.31076530612244901</v>
      </c>
      <c r="L19" s="35"/>
    </row>
    <row r="20" spans="2:12" ht="20.100000000000001" customHeight="1">
      <c r="I20" s="8">
        <f t="shared" si="1"/>
        <v>23400</v>
      </c>
      <c r="J20" s="24">
        <f t="shared" si="2"/>
        <v>0.35719827586206898</v>
      </c>
      <c r="K20" s="22">
        <f t="shared" si="2"/>
        <v>0.32937799043062199</v>
      </c>
      <c r="L20" s="35"/>
    </row>
    <row r="21" spans="2:12" ht="20.100000000000001" customHeight="1">
      <c r="B21" s="11"/>
      <c r="I21" s="8">
        <f t="shared" si="1"/>
        <v>26000</v>
      </c>
      <c r="J21" s="24">
        <f t="shared" si="2"/>
        <v>0.37061224489795919</v>
      </c>
      <c r="K21" s="22">
        <f t="shared" si="2"/>
        <v>0.34581081081081078</v>
      </c>
      <c r="L21" s="35"/>
    </row>
    <row r="22" spans="2:12" ht="20.100000000000001" customHeight="1">
      <c r="B22" s="42" t="s">
        <v>18</v>
      </c>
      <c r="C22" s="43"/>
      <c r="D22" s="16">
        <f>ROUNDUP(MAX($J$4:$K$4)*1.05/10,-LEN(TEXT(MAX($J$4:$K$4)*1.05/10,"0"))+2)</f>
        <v>130000</v>
      </c>
      <c r="I22" s="8">
        <f t="shared" si="1"/>
        <v>28600</v>
      </c>
      <c r="J22" s="24">
        <f t="shared" si="2"/>
        <v>0.38267441860465112</v>
      </c>
      <c r="K22" s="22">
        <f t="shared" si="2"/>
        <v>0.36042553191489368</v>
      </c>
      <c r="L22" s="35"/>
    </row>
    <row r="23" spans="2:12" ht="20.100000000000001" customHeight="1">
      <c r="I23" s="8">
        <f t="shared" si="1"/>
        <v>31200</v>
      </c>
      <c r="J23" s="24">
        <f t="shared" si="2"/>
        <v>0.39357933579335791</v>
      </c>
      <c r="K23" s="22">
        <f t="shared" si="2"/>
        <v>0.37350806451612906</v>
      </c>
      <c r="L23" s="35"/>
    </row>
    <row r="24" spans="2:12" ht="20.100000000000001" customHeight="1">
      <c r="I24" s="8">
        <f t="shared" si="1"/>
        <v>33800</v>
      </c>
      <c r="J24" s="24">
        <f t="shared" si="2"/>
        <v>0.40348591549295776</v>
      </c>
      <c r="K24" s="22">
        <f t="shared" si="2"/>
        <v>0.38528735632183908</v>
      </c>
      <c r="L24" s="35"/>
    </row>
    <row r="25" spans="2:12" ht="20.100000000000001" customHeight="1">
      <c r="I25" s="8">
        <f t="shared" si="1"/>
        <v>36400</v>
      </c>
      <c r="J25" s="24">
        <f t="shared" si="2"/>
        <v>0.41252525252525252</v>
      </c>
      <c r="K25" s="22">
        <f t="shared" si="2"/>
        <v>0.39594890510948899</v>
      </c>
      <c r="L25" s="35"/>
    </row>
    <row r="26" spans="2:12" ht="20.100000000000001" customHeight="1">
      <c r="I26" s="8">
        <f t="shared" si="1"/>
        <v>39000</v>
      </c>
      <c r="J26" s="24">
        <f t="shared" si="2"/>
        <v>0.4208064516129032</v>
      </c>
      <c r="K26" s="22">
        <f t="shared" si="2"/>
        <v>0.4056445993031359</v>
      </c>
      <c r="L26" s="35"/>
    </row>
    <row r="27" spans="2:12" ht="20.100000000000001" customHeight="1">
      <c r="I27" s="8">
        <f t="shared" si="1"/>
        <v>41600</v>
      </c>
      <c r="J27" s="24">
        <f t="shared" si="2"/>
        <v>0.42842105263157892</v>
      </c>
      <c r="K27" s="22">
        <f t="shared" si="2"/>
        <v>0.41449999999999998</v>
      </c>
      <c r="L27" s="35"/>
    </row>
    <row r="28" spans="2:12" ht="20.100000000000001" customHeight="1">
      <c r="B28"/>
      <c r="I28" s="8">
        <f t="shared" si="1"/>
        <v>44200</v>
      </c>
      <c r="J28" s="24">
        <f t="shared" si="2"/>
        <v>0.43544642857142857</v>
      </c>
      <c r="K28" s="22">
        <f t="shared" si="2"/>
        <v>0.42261980830670931</v>
      </c>
      <c r="L28" s="35"/>
    </row>
    <row r="29" spans="2:12" ht="20.100000000000001" customHeight="1">
      <c r="I29" s="8">
        <f t="shared" si="1"/>
        <v>46800</v>
      </c>
      <c r="J29" s="24">
        <f t="shared" si="2"/>
        <v>0.44194842406876789</v>
      </c>
      <c r="K29" s="22">
        <f t="shared" si="2"/>
        <v>0.43009202453987727</v>
      </c>
      <c r="L29" s="35"/>
    </row>
    <row r="30" spans="2:12" ht="20.100000000000001" customHeight="1">
      <c r="I30" s="8">
        <f t="shared" si="1"/>
        <v>49400</v>
      </c>
      <c r="J30" s="24">
        <f t="shared" si="2"/>
        <v>0.44798342541436464</v>
      </c>
      <c r="K30" s="22">
        <f t="shared" si="2"/>
        <v>0.43699115044247783</v>
      </c>
      <c r="L30" s="35"/>
    </row>
    <row r="31" spans="2:12" ht="20.100000000000001" customHeight="1">
      <c r="I31" s="8">
        <f t="shared" si="1"/>
        <v>52000</v>
      </c>
      <c r="J31" s="24">
        <f t="shared" si="2"/>
        <v>0.4536</v>
      </c>
      <c r="K31" s="22">
        <f t="shared" si="2"/>
        <v>0.4433806818181818</v>
      </c>
      <c r="L31" s="35"/>
    </row>
    <row r="32" spans="2:12" ht="20.100000000000001" customHeight="1">
      <c r="I32" s="8">
        <f t="shared" si="1"/>
        <v>54600</v>
      </c>
      <c r="J32" s="24">
        <f t="shared" si="2"/>
        <v>0.45884020618556698</v>
      </c>
      <c r="K32" s="22">
        <f t="shared" si="2"/>
        <v>0.44931506849315073</v>
      </c>
      <c r="L32" s="35"/>
    </row>
    <row r="33" spans="9:12" ht="20.100000000000001" customHeight="1">
      <c r="I33" s="8">
        <f t="shared" si="1"/>
        <v>57200</v>
      </c>
      <c r="J33" s="24">
        <f t="shared" si="2"/>
        <v>0.46374064837905238</v>
      </c>
      <c r="K33" s="22">
        <f t="shared" si="2"/>
        <v>0.45484126984126982</v>
      </c>
      <c r="L33" s="35"/>
    </row>
    <row r="34" spans="9:12" ht="20.100000000000001" customHeight="1">
      <c r="I34" s="8">
        <f t="shared" si="1"/>
        <v>59800</v>
      </c>
      <c r="J34" s="24">
        <f t="shared" si="2"/>
        <v>0.46833333333333338</v>
      </c>
      <c r="K34" s="22">
        <f t="shared" si="2"/>
        <v>0.46000000000000008</v>
      </c>
      <c r="L34" s="35"/>
    </row>
    <row r="35" spans="9:12" ht="20.100000000000001" customHeight="1">
      <c r="I35" s="8">
        <f t="shared" si="1"/>
        <v>62400</v>
      </c>
      <c r="J35" s="24">
        <f t="shared" si="2"/>
        <v>0.47264637002341925</v>
      </c>
      <c r="K35" s="22">
        <f t="shared" si="2"/>
        <v>0.46482673267326735</v>
      </c>
      <c r="L35" s="35"/>
    </row>
    <row r="36" spans="9:12" ht="20.100000000000001" customHeight="1">
      <c r="I36" s="8">
        <f t="shared" si="1"/>
        <v>65000</v>
      </c>
      <c r="J36" s="24">
        <f t="shared" si="2"/>
        <v>0.47670454545454544</v>
      </c>
      <c r="K36" s="22">
        <f t="shared" si="2"/>
        <v>0.46935251798561151</v>
      </c>
      <c r="L36" s="35"/>
    </row>
    <row r="37" spans="9:12" ht="20.100000000000001" customHeight="1">
      <c r="I37" s="8">
        <f t="shared" si="1"/>
        <v>67600</v>
      </c>
      <c r="J37" s="24">
        <f t="shared" si="2"/>
        <v>0.48052980132450329</v>
      </c>
      <c r="K37" s="22">
        <f t="shared" si="2"/>
        <v>0.47360465116279071</v>
      </c>
      <c r="L37" s="35"/>
    </row>
    <row r="38" spans="9:12" ht="20.100000000000001" customHeight="1">
      <c r="I38" s="8">
        <f t="shared" si="1"/>
        <v>70200</v>
      </c>
      <c r="J38" s="24">
        <f t="shared" si="2"/>
        <v>0.48414163090128759</v>
      </c>
      <c r="K38" s="22">
        <f t="shared" si="2"/>
        <v>0.47760722347629792</v>
      </c>
      <c r="L38" s="35"/>
    </row>
    <row r="39" spans="9:12" ht="20.100000000000001" customHeight="1">
      <c r="I39" s="8">
        <f t="shared" si="1"/>
        <v>72800</v>
      </c>
      <c r="J39" s="24">
        <f t="shared" si="2"/>
        <v>0.4875574112734864</v>
      </c>
      <c r="K39" s="22">
        <f t="shared" si="2"/>
        <v>0.48138157894736844</v>
      </c>
      <c r="L39" s="35"/>
    </row>
    <row r="40" spans="9:12" ht="20.100000000000001" customHeight="1">
      <c r="I40" s="8">
        <f t="shared" si="1"/>
        <v>75400</v>
      </c>
      <c r="J40" s="24">
        <f t="shared" si="2"/>
        <v>0.49079268292682932</v>
      </c>
      <c r="K40" s="22">
        <f t="shared" si="2"/>
        <v>0.48494669509594879</v>
      </c>
      <c r="L40" s="35"/>
    </row>
    <row r="41" spans="9:12" ht="20.100000000000001" customHeight="1">
      <c r="I41" s="8">
        <f t="shared" si="1"/>
        <v>78000</v>
      </c>
      <c r="J41" s="24">
        <f t="shared" si="2"/>
        <v>0.49386138613861386</v>
      </c>
      <c r="K41" s="22">
        <f t="shared" si="2"/>
        <v>0.48831950207468877</v>
      </c>
      <c r="L41" s="35"/>
    </row>
    <row r="42" spans="9:12" ht="20.100000000000001" customHeight="1">
      <c r="I42" s="8">
        <f t="shared" si="1"/>
        <v>80600</v>
      </c>
      <c r="J42" s="24">
        <f t="shared" si="2"/>
        <v>0.49677606177606182</v>
      </c>
      <c r="K42" s="22">
        <f t="shared" si="2"/>
        <v>0.49151515151515146</v>
      </c>
      <c r="L42" s="35"/>
    </row>
    <row r="43" spans="9:12" ht="20.100000000000001" customHeight="1">
      <c r="I43" s="8">
        <f t="shared" si="1"/>
        <v>83200</v>
      </c>
      <c r="J43" s="24">
        <f t="shared" si="2"/>
        <v>0.4995480225988701</v>
      </c>
      <c r="K43" s="22">
        <f t="shared" si="2"/>
        <v>0.49454724409448814</v>
      </c>
      <c r="L43" s="35"/>
    </row>
    <row r="44" spans="9:12" ht="20.100000000000001" customHeight="1">
      <c r="I44" s="8">
        <f t="shared" si="1"/>
        <v>85800</v>
      </c>
      <c r="J44" s="24">
        <f t="shared" ref="J44:K61" si="3">IFERROR(IF((J$5+1)/(J$5+($J$4/($I44-J$8)))*J$6+0.1&lt;=IF(J$7&lt;&gt;"N",J$6,999),IF((J$5+1)/(J$5+($J$4/($I44-J$8)))*J$6+0.1&gt;=0.1,(J$5+1)/(J$5+($J$4/($I44-J$8)))*J$6+0.1,0.1),J$6),0.1)</f>
        <v>0.50218750000000001</v>
      </c>
      <c r="K44" s="22">
        <f t="shared" si="3"/>
        <v>0.49742802303262956</v>
      </c>
      <c r="L44" s="35"/>
    </row>
    <row r="45" spans="9:12" ht="20.100000000000001" customHeight="1">
      <c r="I45" s="8">
        <f t="shared" si="1"/>
        <v>88400</v>
      </c>
      <c r="J45" s="24">
        <f t="shared" si="3"/>
        <v>0.50470377019748658</v>
      </c>
      <c r="K45" s="22">
        <f t="shared" si="3"/>
        <v>0.50016853932584271</v>
      </c>
      <c r="L45" s="35"/>
    </row>
    <row r="46" spans="9:12" ht="20.100000000000001" customHeight="1">
      <c r="I46" s="8">
        <f t="shared" si="1"/>
        <v>91000</v>
      </c>
      <c r="J46" s="24">
        <f t="shared" si="3"/>
        <v>0.50710526315789473</v>
      </c>
      <c r="K46" s="22">
        <f t="shared" si="3"/>
        <v>0.50277879341864717</v>
      </c>
      <c r="L46" s="35"/>
    </row>
    <row r="47" spans="9:12" ht="20.100000000000001" customHeight="1">
      <c r="I47" s="8">
        <f t="shared" si="1"/>
        <v>93600</v>
      </c>
      <c r="J47" s="24">
        <f t="shared" si="3"/>
        <v>0.50939965694682676</v>
      </c>
      <c r="K47" s="22">
        <f t="shared" si="3"/>
        <v>0.50526785714285716</v>
      </c>
      <c r="L47" s="35"/>
    </row>
    <row r="48" spans="9:12" ht="20.100000000000001" customHeight="1">
      <c r="I48" s="8">
        <f t="shared" si="1"/>
        <v>96200</v>
      </c>
      <c r="J48" s="24">
        <f t="shared" si="3"/>
        <v>0.51159395973154365</v>
      </c>
      <c r="K48" s="22">
        <f t="shared" si="3"/>
        <v>0.50764397905759162</v>
      </c>
      <c r="L48" s="35"/>
    </row>
    <row r="49" spans="9:12" ht="20.100000000000001" customHeight="1">
      <c r="I49" s="8">
        <f t="shared" si="1"/>
        <v>98800</v>
      </c>
      <c r="J49" s="24">
        <f t="shared" si="3"/>
        <v>0.51369458128078815</v>
      </c>
      <c r="K49" s="22">
        <f t="shared" si="3"/>
        <v>0.50991467576791816</v>
      </c>
      <c r="L49" s="35"/>
    </row>
    <row r="50" spans="9:12" ht="20.100000000000001" customHeight="1">
      <c r="I50" s="8">
        <f t="shared" si="1"/>
        <v>101400</v>
      </c>
      <c r="J50" s="24">
        <f t="shared" si="3"/>
        <v>0.51570739549839228</v>
      </c>
      <c r="K50" s="22">
        <f t="shared" si="3"/>
        <v>0.51208681135225376</v>
      </c>
      <c r="L50" s="35"/>
    </row>
    <row r="51" spans="9:12" ht="20.100000000000001" customHeight="1">
      <c r="I51" s="8">
        <f t="shared" si="1"/>
        <v>104000</v>
      </c>
      <c r="J51" s="24">
        <f t="shared" si="3"/>
        <v>0.51763779527559062</v>
      </c>
      <c r="K51" s="22">
        <f t="shared" si="3"/>
        <v>0.51416666666666666</v>
      </c>
      <c r="L51" s="35"/>
    </row>
    <row r="52" spans="9:12" ht="20.100000000000001" customHeight="1">
      <c r="I52" s="8">
        <f t="shared" si="1"/>
        <v>106600</v>
      </c>
      <c r="J52" s="24">
        <f t="shared" si="3"/>
        <v>0.51949074074074075</v>
      </c>
      <c r="K52" s="22">
        <f t="shared" si="3"/>
        <v>0.51616000000000006</v>
      </c>
      <c r="L52" s="35"/>
    </row>
    <row r="53" spans="9:12" ht="20.100000000000001" customHeight="1">
      <c r="I53" s="8">
        <f t="shared" si="1"/>
        <v>109200</v>
      </c>
      <c r="J53" s="24">
        <f t="shared" si="3"/>
        <v>0.52127080181543117</v>
      </c>
      <c r="K53" s="22">
        <f t="shared" si="3"/>
        <v>0.51807210031347961</v>
      </c>
      <c r="L53" s="35"/>
    </row>
    <row r="54" spans="9:12" ht="20.100000000000001" customHeight="1">
      <c r="I54" s="8">
        <f t="shared" si="1"/>
        <v>111800</v>
      </c>
      <c r="J54" s="24">
        <f t="shared" si="3"/>
        <v>0.52298219584569738</v>
      </c>
      <c r="K54" s="22">
        <f t="shared" si="3"/>
        <v>0.51990783410138253</v>
      </c>
      <c r="L54" s="35"/>
    </row>
    <row r="55" spans="9:12" ht="20.100000000000001" customHeight="1">
      <c r="I55" s="8">
        <f t="shared" si="1"/>
        <v>114400</v>
      </c>
      <c r="J55" s="24">
        <f t="shared" si="3"/>
        <v>0.52462882096069874</v>
      </c>
      <c r="K55" s="22">
        <f t="shared" si="3"/>
        <v>0.52167168674698794</v>
      </c>
      <c r="L55" s="35"/>
    </row>
    <row r="56" spans="9:12" ht="20.100000000000001" customHeight="1">
      <c r="I56" s="8">
        <f t="shared" si="1"/>
        <v>117000</v>
      </c>
      <c r="J56" s="24">
        <f t="shared" si="3"/>
        <v>0.52621428571428575</v>
      </c>
      <c r="K56" s="22">
        <f t="shared" si="3"/>
        <v>0.5233677991137371</v>
      </c>
      <c r="L56" s="35"/>
    </row>
    <row r="57" spans="9:12" ht="20.100000000000001" customHeight="1">
      <c r="I57" s="8">
        <f t="shared" si="1"/>
        <v>119600</v>
      </c>
      <c r="J57" s="24">
        <f t="shared" si="3"/>
        <v>0.52774193548387094</v>
      </c>
      <c r="K57" s="22">
        <f t="shared" si="3"/>
        <v>0.52500000000000002</v>
      </c>
      <c r="L57" s="35"/>
    </row>
    <row r="58" spans="9:12" ht="20.100000000000001" customHeight="1">
      <c r="I58" s="8">
        <f t="shared" si="1"/>
        <v>122200</v>
      </c>
      <c r="J58" s="24">
        <f t="shared" si="3"/>
        <v>0.52921487603305783</v>
      </c>
      <c r="K58" s="22">
        <f t="shared" si="3"/>
        <v>0.52657183499288762</v>
      </c>
      <c r="L58" s="35"/>
    </row>
    <row r="59" spans="9:12" ht="20.100000000000001" customHeight="1">
      <c r="I59" s="8">
        <f t="shared" si="1"/>
        <v>124800</v>
      </c>
      <c r="J59" s="24">
        <f t="shared" si="3"/>
        <v>0.53063599458728006</v>
      </c>
      <c r="K59" s="22">
        <f t="shared" si="3"/>
        <v>0.52808659217877096</v>
      </c>
      <c r="L59" s="35"/>
    </row>
    <row r="60" spans="9:12" ht="20.100000000000001" customHeight="1">
      <c r="I60" s="8">
        <f>$I$11+($I$61-$I$11)/(ROW($I$61)-ROW($I$11))*(ROW($I60)-ROW($I$11))</f>
        <v>127400</v>
      </c>
      <c r="J60" s="24">
        <f t="shared" si="3"/>
        <v>0.53200797872340422</v>
      </c>
      <c r="K60" s="22">
        <f t="shared" si="3"/>
        <v>0.52954732510288072</v>
      </c>
      <c r="L60" s="35"/>
    </row>
    <row r="61" spans="9:12" ht="20.100000000000001" customHeight="1">
      <c r="I61" s="9">
        <f>$D$22</f>
        <v>130000</v>
      </c>
      <c r="J61" s="24">
        <f t="shared" si="3"/>
        <v>0.53333333333333333</v>
      </c>
      <c r="K61" s="22">
        <f t="shared" si="3"/>
        <v>0.5309568733153639</v>
      </c>
      <c r="L61" s="35"/>
    </row>
    <row r="62" spans="9:12" ht="20.100000000000001" customHeight="1">
      <c r="I62" s="1"/>
    </row>
  </sheetData>
  <mergeCells count="2">
    <mergeCell ref="B1:G1"/>
    <mergeCell ref="B22:C22"/>
  </mergeCells>
  <conditionalFormatting sqref="B3:G7">
    <cfRule type="expression" dxfId="4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2"/>
  <sheetViews>
    <sheetView zoomScaleNormal="100" workbookViewId="0" xr3:uid="{FF0BDA26-1AD6-5648-BD9A-E01AA4DDCA7C}">
      <selection activeCell="K1" sqref="K1"/>
    </sheetView>
  </sheetViews>
  <sheetFormatPr defaultColWidth="11.5703125" defaultRowHeight="20.100000000000001" customHeight="1"/>
  <cols>
    <col min="1" max="1" width="6.5703125" style="1" customWidth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6.5703125" style="1" customWidth="1"/>
    <col min="9" max="11" width="15.5703125" style="3" customWidth="1"/>
    <col min="12" max="12" width="6.5703125" style="1" customWidth="1"/>
    <col min="13" max="15" width="15.5703125" style="3" customWidth="1"/>
    <col min="16" max="16" width="6.5703125" style="1" customWidth="1"/>
    <col min="17" max="19" width="15.5703125" style="3" customWidth="1"/>
    <col min="20" max="20" width="6.5703125" style="1" customWidth="1"/>
    <col min="21" max="16384" width="11.5703125" style="1"/>
  </cols>
  <sheetData>
    <row r="1" spans="1:19" ht="20.100000000000001" customHeight="1">
      <c r="B1" s="44" t="s">
        <v>31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  <c r="M1" s="6"/>
      <c r="N1" s="1"/>
      <c r="O1" s="1"/>
      <c r="Q1" s="6"/>
      <c r="R1" s="1"/>
      <c r="S1" s="1"/>
    </row>
    <row r="2" spans="1:19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9" ht="20.100000000000001" customHeight="1">
      <c r="A3" s="3" t="str">
        <f t="shared" ref="A3:A9" si="0">IF(AND($J$1&gt;=$B3,$J$1&lt;=$C3),"&gt;","")</f>
        <v/>
      </c>
      <c r="B3" s="5">
        <v>1</v>
      </c>
      <c r="C3" s="5">
        <v>20</v>
      </c>
      <c r="D3" s="10">
        <v>2.5</v>
      </c>
      <c r="E3" s="14">
        <v>0.15</v>
      </c>
      <c r="F3" s="10">
        <v>112.5</v>
      </c>
      <c r="G3" s="7"/>
      <c r="I3" s="36" t="s">
        <v>32</v>
      </c>
      <c r="J3" s="34" t="s">
        <v>9</v>
      </c>
      <c r="K3" s="17" t="s">
        <v>10</v>
      </c>
      <c r="M3" s="36" t="s">
        <v>33</v>
      </c>
      <c r="N3" s="34" t="s">
        <v>9</v>
      </c>
      <c r="O3" s="17" t="s">
        <v>10</v>
      </c>
      <c r="Q3" s="1"/>
      <c r="R3" s="1"/>
      <c r="S3" s="1"/>
    </row>
    <row r="4" spans="1:19" ht="20.100000000000001" customHeight="1">
      <c r="A4" s="3" t="str">
        <f t="shared" si="0"/>
        <v/>
      </c>
      <c r="B4" s="5">
        <v>21</v>
      </c>
      <c r="C4" s="5">
        <v>50</v>
      </c>
      <c r="D4" s="10">
        <v>2.5</v>
      </c>
      <c r="E4" s="14">
        <v>0.15</v>
      </c>
      <c r="F4" s="10">
        <v>75</v>
      </c>
      <c r="G4" s="7">
        <v>750</v>
      </c>
      <c r="I4" s="27" t="s">
        <v>11</v>
      </c>
      <c r="J4" s="28">
        <f>'Full-BPE'!J4</f>
        <v>64000</v>
      </c>
      <c r="K4" s="18">
        <f>'Full-BPE'!K4</f>
        <v>68600</v>
      </c>
      <c r="M4" s="27" t="s">
        <v>11</v>
      </c>
      <c r="N4" s="28">
        <f>SUMPRODUCT(($A$3:$A$102="&gt;")*($F$3:$F$102))*$J$1+SUMPRODUCT(($A$3:$A$102="&gt;")*($G$3:$G$102))+N$8</f>
        <v>190000.00000000023</v>
      </c>
      <c r="O4" s="18">
        <f>SUMPRODUCT(($A$3:$A$102="&gt;")*($F$3:$F$102))*$J$1+SUMPRODUCT(($A$3:$A$102="&gt;")*($G$3:$G$102))+O$8</f>
        <v>194600.00000000023</v>
      </c>
      <c r="Q4" s="1"/>
      <c r="R4" s="1"/>
      <c r="S4" s="1"/>
    </row>
    <row r="5" spans="1:19" ht="20.100000000000001" customHeight="1">
      <c r="A5" s="3" t="str">
        <f t="shared" si="0"/>
        <v/>
      </c>
      <c r="B5" s="5">
        <v>51</v>
      </c>
      <c r="C5" s="5">
        <v>84</v>
      </c>
      <c r="D5" s="10">
        <v>2.5</v>
      </c>
      <c r="E5" s="14">
        <v>0.17</v>
      </c>
      <c r="F5" s="10">
        <v>775</v>
      </c>
      <c r="G5" s="7">
        <v>-34250</v>
      </c>
      <c r="I5" s="27" t="s">
        <v>5</v>
      </c>
      <c r="J5" s="29">
        <f>'Full-BPE'!J5</f>
        <v>2</v>
      </c>
      <c r="K5" s="19">
        <f>'Full-BPE'!K5</f>
        <v>2</v>
      </c>
      <c r="M5" s="27" t="s">
        <v>5</v>
      </c>
      <c r="N5" s="29">
        <f>SUMPRODUCT(($A$3:$A$102="&gt;")*($D$3:$D$102))</f>
        <v>2.5</v>
      </c>
      <c r="O5" s="19">
        <f>$N$5</f>
        <v>2.5</v>
      </c>
      <c r="Q5" s="1"/>
      <c r="R5" s="1"/>
      <c r="S5" s="1"/>
    </row>
    <row r="6" spans="1:19" ht="20.100000000000001" customHeight="1">
      <c r="A6" s="3" t="str">
        <f t="shared" si="0"/>
        <v/>
      </c>
      <c r="B6" s="5">
        <v>85</v>
      </c>
      <c r="C6" s="5">
        <v>95</v>
      </c>
      <c r="D6" s="10">
        <v>2.5</v>
      </c>
      <c r="E6" s="14">
        <v>0.2</v>
      </c>
      <c r="F6" s="10">
        <v>775</v>
      </c>
      <c r="G6" s="7">
        <v>-34250</v>
      </c>
      <c r="I6" s="27" t="s">
        <v>6</v>
      </c>
      <c r="J6" s="30">
        <f>'Full-BPE'!J6</f>
        <v>0.13</v>
      </c>
      <c r="K6" s="20">
        <f>'Full-BPE'!K6</f>
        <v>0.13</v>
      </c>
      <c r="M6" s="27" t="s">
        <v>6</v>
      </c>
      <c r="N6" s="30">
        <f>SUMPRODUCT(($A$3:$A$102="&gt;")*($E$3:$E$102))</f>
        <v>0.35</v>
      </c>
      <c r="O6" s="20">
        <f>$N$6</f>
        <v>0.35</v>
      </c>
      <c r="Q6" s="1"/>
      <c r="R6" s="1"/>
      <c r="S6" s="1"/>
    </row>
    <row r="7" spans="1:19" ht="20.100000000000001" customHeight="1">
      <c r="A7" s="3" t="str">
        <f t="shared" si="0"/>
        <v/>
      </c>
      <c r="B7" s="5">
        <v>96</v>
      </c>
      <c r="C7" s="5">
        <v>104</v>
      </c>
      <c r="D7" s="10">
        <v>2.5</v>
      </c>
      <c r="E7" s="14">
        <v>0.35</v>
      </c>
      <c r="F7" s="10">
        <v>775</v>
      </c>
      <c r="G7" s="7">
        <v>-34250</v>
      </c>
      <c r="I7" s="27" t="s">
        <v>12</v>
      </c>
      <c r="J7" s="31" t="str">
        <f>'Full-BPE'!J7</f>
        <v>Y</v>
      </c>
      <c r="K7" s="26" t="str">
        <f>'Full-BPE'!K7</f>
        <v>Y</v>
      </c>
      <c r="M7" s="27" t="s">
        <v>12</v>
      </c>
      <c r="N7" s="31" t="s">
        <v>13</v>
      </c>
      <c r="O7" s="26" t="str">
        <f>$N$7</f>
        <v>Y</v>
      </c>
      <c r="Q7" s="1"/>
      <c r="R7" s="1"/>
      <c r="S7" s="1"/>
    </row>
    <row r="8" spans="1:19" ht="20.100000000000001" customHeight="1">
      <c r="A8" s="3" t="str">
        <f t="shared" si="0"/>
        <v/>
      </c>
      <c r="B8" s="5">
        <v>105</v>
      </c>
      <c r="C8" s="5">
        <v>105</v>
      </c>
      <c r="D8" s="10">
        <v>2.5</v>
      </c>
      <c r="E8" s="14">
        <v>0.35</v>
      </c>
      <c r="F8" s="10">
        <f>9500/21</f>
        <v>452.38095238095241</v>
      </c>
      <c r="G8" s="7"/>
      <c r="I8" s="32" t="s">
        <v>14</v>
      </c>
      <c r="J8" s="33">
        <f>'Full-BPE'!J8</f>
        <v>0</v>
      </c>
      <c r="K8" s="21">
        <f>'Full-BPE'!K8</f>
        <v>4600</v>
      </c>
      <c r="M8" s="32" t="s">
        <v>14</v>
      </c>
      <c r="N8" s="33">
        <v>0</v>
      </c>
      <c r="O8" s="21">
        <f>$J$1*40</f>
        <v>4600</v>
      </c>
      <c r="Q8" s="47" t="s">
        <v>34</v>
      </c>
      <c r="R8" s="48"/>
      <c r="S8" s="49"/>
    </row>
    <row r="9" spans="1:19" ht="20.100000000000001" customHeight="1">
      <c r="A9" s="3" t="str">
        <f t="shared" si="0"/>
        <v>&gt;</v>
      </c>
      <c r="B9" s="5">
        <v>106</v>
      </c>
      <c r="C9" s="5">
        <v>115</v>
      </c>
      <c r="D9" s="10">
        <v>2.5</v>
      </c>
      <c r="E9" s="14">
        <v>0.35</v>
      </c>
      <c r="F9" s="10">
        <f>118750/9</f>
        <v>13194.444444444445</v>
      </c>
      <c r="G9" s="7">
        <f>-11946250/9</f>
        <v>-1327361.111111111</v>
      </c>
      <c r="K9" s="1"/>
      <c r="O9" s="1"/>
      <c r="S9" s="1"/>
    </row>
    <row r="10" spans="1:19" ht="20.100000000000001" customHeight="1">
      <c r="I10" s="4" t="s">
        <v>15</v>
      </c>
      <c r="J10" s="23" t="s">
        <v>16</v>
      </c>
      <c r="K10" s="25" t="s">
        <v>17</v>
      </c>
      <c r="M10" s="4" t="s">
        <v>15</v>
      </c>
      <c r="N10" s="23" t="s">
        <v>16</v>
      </c>
      <c r="O10" s="25" t="s">
        <v>17</v>
      </c>
      <c r="Q10" s="4" t="s">
        <v>15</v>
      </c>
      <c r="R10" s="23" t="s">
        <v>16</v>
      </c>
      <c r="S10" s="25" t="s">
        <v>17</v>
      </c>
    </row>
    <row r="11" spans="1:19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  <c r="L11" s="35"/>
      <c r="M11" s="8">
        <f>$I11</f>
        <v>0</v>
      </c>
      <c r="N11" s="24">
        <f>IFERROR(IF((N$5+1)/(N$5+($N$4/($M11-N$8)))*N$6&lt;=IF(N$7&lt;&gt;"N",N$6,999),IF((N$5+1)/(N$5+($N$4/($M11-N$8)))*N$6&gt;=0,(N$5+1)/(N$5+($N$4/($M11-N$8)))*N$6,0),N$6),0)</f>
        <v>0</v>
      </c>
      <c r="O11" s="22">
        <f>IFERROR(IF((O$5+1)/(O$5+($N$4/($M11-O$8)))*O$6&lt;=IF(O$7&lt;&gt;"N",O$6,999),IF((O$5+1)/(O$5+($N$4/($M11-O$8)))*O$6&gt;=0,(O$5+1)/(O$5+($N$4/($M11-O$8)))*O$6,0),O$6),0)</f>
        <v>0</v>
      </c>
      <c r="Q11" s="8">
        <f>$I11</f>
        <v>0</v>
      </c>
      <c r="R11" s="24">
        <f>1-(1-J11)*(1-N11)</f>
        <v>0</v>
      </c>
      <c r="S11" s="22">
        <f>1-(1-K11)*(1-O11)</f>
        <v>0</v>
      </c>
    </row>
    <row r="12" spans="1:19" ht="20.100000000000001" customHeight="1">
      <c r="I12" s="8">
        <f t="shared" ref="I12:I59" si="1">$I$11+($I$61-$I$11)/(ROW($I$61)-ROW($I$11))*(ROW($I12)-ROW($I$11))</f>
        <v>3800</v>
      </c>
      <c r="J12" s="24">
        <f t="shared" ref="J12:K43" si="2">IFERROR(IF((J$5+1)/(J$5+($J$4/($I12-J$8)))*J$6&lt;=IF(J$7&lt;&gt;"N",J$6,999),IF((J$5+1)/(J$5+($J$4/($I12-J$8)))*J$6&gt;=0,(J$5+1)/(J$5+($J$4/($I12-J$8)))*J$6,0),J$6),0)</f>
        <v>2.0698324022346368E-2</v>
      </c>
      <c r="K12" s="22">
        <f t="shared" si="2"/>
        <v>0</v>
      </c>
      <c r="L12" s="35"/>
      <c r="M12" s="8">
        <f t="shared" ref="M12:M61" si="3">$I12</f>
        <v>3800</v>
      </c>
      <c r="N12" s="24">
        <f t="shared" ref="N12:O43" si="4">IFERROR(IF((N$5+1)/(N$5+($N$4/($M12-N$8)))*N$6&lt;=IF(N$7&lt;&gt;"N",N$6,999),IF((N$5+1)/(N$5+($N$4/($M12-N$8)))*N$6&gt;=0,(N$5+1)/(N$5+($N$4/($M12-N$8)))*N$6,0),N$6),0)</f>
        <v>2.3333333333333303E-2</v>
      </c>
      <c r="O12" s="22">
        <f t="shared" si="4"/>
        <v>0</v>
      </c>
      <c r="Q12" s="8">
        <f t="shared" ref="Q12:Q61" si="5">$I12</f>
        <v>3800</v>
      </c>
      <c r="R12" s="24">
        <f t="shared" ref="R12:R61" si="6">1-(1-J12)*(1-N12)</f>
        <v>4.3548696461824909E-2</v>
      </c>
      <c r="S12" s="22">
        <f t="shared" ref="S12:S61" si="7">1-(1-K12)*(1-O12)</f>
        <v>0</v>
      </c>
    </row>
    <row r="13" spans="1:19" ht="20.100000000000001" customHeight="1">
      <c r="I13" s="8">
        <f t="shared" si="1"/>
        <v>7600</v>
      </c>
      <c r="J13" s="24">
        <f t="shared" si="2"/>
        <v>3.7424242424242429E-2</v>
      </c>
      <c r="K13" s="22">
        <f t="shared" si="2"/>
        <v>1.6714285714285716E-2</v>
      </c>
      <c r="L13" s="35"/>
      <c r="M13" s="8">
        <f t="shared" si="3"/>
        <v>7600</v>
      </c>
      <c r="N13" s="24">
        <f t="shared" si="4"/>
        <v>4.4545454545454492E-2</v>
      </c>
      <c r="O13" s="22">
        <f t="shared" si="4"/>
        <v>1.8607594936708837E-2</v>
      </c>
      <c r="Q13" s="8">
        <f t="shared" si="5"/>
        <v>7600</v>
      </c>
      <c r="R13" s="24">
        <f t="shared" si="6"/>
        <v>8.0302617079889727E-2</v>
      </c>
      <c r="S13" s="22">
        <f t="shared" si="7"/>
        <v>3.5010867992766648E-2</v>
      </c>
    </row>
    <row r="14" spans="1:19" ht="20.100000000000001" customHeight="1">
      <c r="I14" s="8">
        <f t="shared" si="1"/>
        <v>11400</v>
      </c>
      <c r="J14" s="24">
        <f t="shared" si="2"/>
        <v>5.1221198156682031E-2</v>
      </c>
      <c r="K14" s="22">
        <f t="shared" si="2"/>
        <v>3.4175257731958765E-2</v>
      </c>
      <c r="L14" s="35"/>
      <c r="M14" s="8">
        <f t="shared" si="3"/>
        <v>11400</v>
      </c>
      <c r="N14" s="24">
        <f t="shared" si="4"/>
        <v>6.3913043478260795E-2</v>
      </c>
      <c r="O14" s="22">
        <f t="shared" si="4"/>
        <v>4.0241545893719755E-2</v>
      </c>
      <c r="Q14" s="8">
        <f t="shared" si="5"/>
        <v>11400</v>
      </c>
      <c r="R14" s="24">
        <f t="shared" si="6"/>
        <v>0.11186053897014614</v>
      </c>
      <c r="S14" s="22">
        <f t="shared" si="7"/>
        <v>7.3041538423228136E-2</v>
      </c>
    </row>
    <row r="15" spans="1:19" ht="20.100000000000001" customHeight="1">
      <c r="I15" s="8">
        <f t="shared" si="1"/>
        <v>15200</v>
      </c>
      <c r="J15" s="24">
        <f t="shared" si="2"/>
        <v>6.2796610169491535E-2</v>
      </c>
      <c r="K15" s="22">
        <f t="shared" si="2"/>
        <v>4.8521126760563381E-2</v>
      </c>
      <c r="L15" s="35"/>
      <c r="M15" s="8">
        <f t="shared" si="3"/>
        <v>15200</v>
      </c>
      <c r="N15" s="24">
        <f t="shared" si="4"/>
        <v>8.1666666666666582E-2</v>
      </c>
      <c r="O15" s="22">
        <f t="shared" si="4"/>
        <v>5.9976905311778225E-2</v>
      </c>
      <c r="Q15" s="8">
        <f t="shared" si="5"/>
        <v>15200</v>
      </c>
      <c r="R15" s="24">
        <f t="shared" si="6"/>
        <v>0.13933488700564967</v>
      </c>
      <c r="S15" s="22">
        <f t="shared" si="7"/>
        <v>0.10558788504700256</v>
      </c>
    </row>
    <row r="16" spans="1:19" ht="20.100000000000001" customHeight="1">
      <c r="I16" s="8">
        <f t="shared" si="1"/>
        <v>19000</v>
      </c>
      <c r="J16" s="24">
        <f t="shared" si="2"/>
        <v>7.2647058823529412E-2</v>
      </c>
      <c r="K16" s="22">
        <f t="shared" si="2"/>
        <v>6.0517241379310346E-2</v>
      </c>
      <c r="L16" s="35"/>
      <c r="M16" s="8">
        <f t="shared" si="3"/>
        <v>19000</v>
      </c>
      <c r="N16" s="24">
        <f t="shared" si="4"/>
        <v>9.7999999999999907E-2</v>
      </c>
      <c r="O16" s="22">
        <f t="shared" si="4"/>
        <v>7.805309734513266E-2</v>
      </c>
      <c r="Q16" s="8">
        <f t="shared" si="5"/>
        <v>19000</v>
      </c>
      <c r="R16" s="24">
        <f t="shared" si="6"/>
        <v>0.16352764705882339</v>
      </c>
      <c r="S16" s="22">
        <f t="shared" si="7"/>
        <v>0.13384678059200483</v>
      </c>
    </row>
    <row r="17" spans="2:19" ht="20.100000000000001" customHeight="1">
      <c r="I17" s="8">
        <f t="shared" si="1"/>
        <v>22800</v>
      </c>
      <c r="J17" s="24">
        <f t="shared" si="2"/>
        <v>8.1131386861313881E-2</v>
      </c>
      <c r="K17" s="22">
        <f t="shared" si="2"/>
        <v>7.0697211155378484E-2</v>
      </c>
      <c r="L17" s="35"/>
      <c r="M17" s="8">
        <f t="shared" si="3"/>
        <v>22800</v>
      </c>
      <c r="N17" s="24">
        <f t="shared" si="4"/>
        <v>0.11307692307692298</v>
      </c>
      <c r="O17" s="22">
        <f t="shared" si="4"/>
        <v>9.4670912951167627E-2</v>
      </c>
      <c r="Q17" s="8">
        <f t="shared" si="5"/>
        <v>22800</v>
      </c>
      <c r="R17" s="24">
        <f t="shared" si="6"/>
        <v>0.18503422234699607</v>
      </c>
      <c r="S17" s="22">
        <f t="shared" si="7"/>
        <v>0.15867515458336501</v>
      </c>
    </row>
    <row r="18" spans="2:19" ht="20.100000000000001" customHeight="1">
      <c r="I18" s="8">
        <f t="shared" si="1"/>
        <v>26600</v>
      </c>
      <c r="J18" s="24">
        <f t="shared" si="2"/>
        <v>8.8515358361774751E-2</v>
      </c>
      <c r="K18" s="22">
        <f t="shared" si="2"/>
        <v>7.9444444444444443E-2</v>
      </c>
      <c r="L18" s="35"/>
      <c r="M18" s="8">
        <f t="shared" si="3"/>
        <v>26600</v>
      </c>
      <c r="N18" s="24">
        <f t="shared" si="4"/>
        <v>0.12703703703703692</v>
      </c>
      <c r="O18" s="22">
        <f t="shared" si="4"/>
        <v>0.10999999999999989</v>
      </c>
      <c r="Q18" s="8">
        <f t="shared" si="5"/>
        <v>26600</v>
      </c>
      <c r="R18" s="24">
        <f t="shared" si="6"/>
        <v>0.20430766654026034</v>
      </c>
      <c r="S18" s="22">
        <f t="shared" si="7"/>
        <v>0.18070555555555545</v>
      </c>
    </row>
    <row r="19" spans="2:19" ht="20.100000000000001" customHeight="1">
      <c r="I19" s="8">
        <f t="shared" si="1"/>
        <v>30400</v>
      </c>
      <c r="J19" s="24">
        <f t="shared" si="2"/>
        <v>9.5000000000000015E-2</v>
      </c>
      <c r="K19" s="22">
        <f t="shared" si="2"/>
        <v>8.7041522491349485E-2</v>
      </c>
      <c r="L19" s="35"/>
      <c r="M19" s="8">
        <f t="shared" si="3"/>
        <v>30400</v>
      </c>
      <c r="N19" s="24">
        <f t="shared" si="4"/>
        <v>0.13999999999999987</v>
      </c>
      <c r="O19" s="22">
        <f t="shared" si="4"/>
        <v>0.12418467583497039</v>
      </c>
      <c r="Q19" s="8">
        <f t="shared" si="5"/>
        <v>30400</v>
      </c>
      <c r="R19" s="24">
        <f t="shared" si="6"/>
        <v>0.2216999999999999</v>
      </c>
      <c r="S19" s="22">
        <f t="shared" si="7"/>
        <v>0.20041697507154932</v>
      </c>
    </row>
    <row r="20" spans="2:19" ht="20.100000000000001" customHeight="1">
      <c r="I20" s="8">
        <f t="shared" si="1"/>
        <v>34200</v>
      </c>
      <c r="J20" s="24">
        <f t="shared" si="2"/>
        <v>0.10074018126888218</v>
      </c>
      <c r="K20" s="22">
        <f t="shared" si="2"/>
        <v>9.3701298701298702E-2</v>
      </c>
      <c r="L20" s="35"/>
      <c r="M20" s="8">
        <f t="shared" si="3"/>
        <v>34200</v>
      </c>
      <c r="N20" s="24">
        <f t="shared" si="4"/>
        <v>0.15206896551724125</v>
      </c>
      <c r="O20" s="22">
        <f t="shared" si="4"/>
        <v>0.13734848484848472</v>
      </c>
      <c r="Q20" s="8">
        <f t="shared" si="5"/>
        <v>34200</v>
      </c>
      <c r="R20" s="24">
        <f t="shared" si="6"/>
        <v>0.23748969163454514</v>
      </c>
      <c r="S20" s="22">
        <f t="shared" si="7"/>
        <v>0.21818005214482483</v>
      </c>
    </row>
    <row r="21" spans="2:19" ht="20.100000000000001" customHeight="1">
      <c r="I21" s="8">
        <f t="shared" si="1"/>
        <v>38000</v>
      </c>
      <c r="J21" s="24">
        <f t="shared" si="2"/>
        <v>0.10585714285714286</v>
      </c>
      <c r="K21" s="22">
        <f t="shared" si="2"/>
        <v>9.9587155963302754E-2</v>
      </c>
      <c r="L21" s="35"/>
      <c r="M21" s="8">
        <f t="shared" si="3"/>
        <v>38000</v>
      </c>
      <c r="N21" s="24">
        <f t="shared" si="4"/>
        <v>0.16333333333333319</v>
      </c>
      <c r="O21" s="22">
        <f t="shared" si="4"/>
        <v>0.149597806215722</v>
      </c>
      <c r="Q21" s="8">
        <f t="shared" si="5"/>
        <v>38000</v>
      </c>
      <c r="R21" s="24">
        <f t="shared" si="6"/>
        <v>0.25190047619047606</v>
      </c>
      <c r="S21" s="22">
        <f t="shared" si="7"/>
        <v>0.23428694211965173</v>
      </c>
    </row>
    <row r="22" spans="2:19" ht="20.100000000000001" customHeight="1">
      <c r="I22" s="8">
        <f t="shared" si="1"/>
        <v>41800</v>
      </c>
      <c r="J22" s="24">
        <f t="shared" si="2"/>
        <v>0.11044715447154473</v>
      </c>
      <c r="K22" s="22">
        <f t="shared" si="2"/>
        <v>0.10482658959537572</v>
      </c>
      <c r="L22" s="35"/>
      <c r="M22" s="8">
        <f t="shared" si="3"/>
        <v>41800</v>
      </c>
      <c r="N22" s="24">
        <f t="shared" si="4"/>
        <v>0.17387096774193533</v>
      </c>
      <c r="O22" s="22">
        <f t="shared" si="4"/>
        <v>0.16102473498233202</v>
      </c>
      <c r="Q22" s="8">
        <f t="shared" si="5"/>
        <v>41800</v>
      </c>
      <c r="R22" s="24">
        <f t="shared" si="6"/>
        <v>0.26511456858116955</v>
      </c>
      <c r="S22" s="22">
        <f t="shared" si="7"/>
        <v>0.24897165076901073</v>
      </c>
    </row>
    <row r="23" spans="2:19" ht="20.100000000000001" customHeight="1">
      <c r="B23" s="11"/>
      <c r="I23" s="8">
        <f t="shared" si="1"/>
        <v>45600</v>
      </c>
      <c r="J23" s="24">
        <f t="shared" si="2"/>
        <v>0.11458762886597938</v>
      </c>
      <c r="K23" s="22">
        <f t="shared" si="2"/>
        <v>0.10952054794520549</v>
      </c>
      <c r="L23" s="35"/>
      <c r="M23" s="8">
        <f t="shared" si="3"/>
        <v>45600</v>
      </c>
      <c r="N23" s="24">
        <f t="shared" si="4"/>
        <v>0.18374999999999983</v>
      </c>
      <c r="O23" s="22">
        <f t="shared" si="4"/>
        <v>0.17170940170940155</v>
      </c>
      <c r="Q23" s="8">
        <f t="shared" si="5"/>
        <v>45600</v>
      </c>
      <c r="R23" s="24">
        <f t="shared" si="6"/>
        <v>0.27728215206185558</v>
      </c>
      <c r="S23" s="22">
        <f t="shared" si="7"/>
        <v>0.26242424189204994</v>
      </c>
    </row>
    <row r="24" spans="2:19" ht="20.100000000000001" customHeight="1">
      <c r="B24" s="42" t="s">
        <v>18</v>
      </c>
      <c r="C24" s="43"/>
      <c r="D24" s="16">
        <f>ROUNDDOWN(MAX($J$4:$K$4,$N$4:$O$4),-LEN(TEXT(MAX($J$4:$K$4,$N$4:$O$4),"0"))+2)</f>
        <v>190000</v>
      </c>
      <c r="I24" s="8">
        <f t="shared" si="1"/>
        <v>49400</v>
      </c>
      <c r="J24" s="24">
        <f t="shared" si="2"/>
        <v>0.11834152334152334</v>
      </c>
      <c r="K24" s="22">
        <f t="shared" si="2"/>
        <v>0.11374999999999999</v>
      </c>
      <c r="L24" s="35"/>
      <c r="M24" s="8">
        <f t="shared" si="3"/>
        <v>49400</v>
      </c>
      <c r="N24" s="24">
        <f t="shared" si="4"/>
        <v>0.19303030303030291</v>
      </c>
      <c r="O24" s="22">
        <f t="shared" si="4"/>
        <v>0.18172185430463558</v>
      </c>
      <c r="Q24" s="8">
        <f t="shared" si="5"/>
        <v>49400</v>
      </c>
      <c r="R24" s="24">
        <f t="shared" si="6"/>
        <v>0.28852832626014435</v>
      </c>
      <c r="S24" s="22">
        <f t="shared" si="7"/>
        <v>0.27480099337748332</v>
      </c>
    </row>
    <row r="25" spans="2:19" ht="20.100000000000001" customHeight="1">
      <c r="I25" s="8">
        <f t="shared" si="1"/>
        <v>53200</v>
      </c>
      <c r="J25" s="24">
        <f t="shared" si="2"/>
        <v>0.1217605633802817</v>
      </c>
      <c r="K25" s="22">
        <f t="shared" si="2"/>
        <v>0.11758064516129031</v>
      </c>
      <c r="L25" s="35"/>
      <c r="M25" s="8">
        <f t="shared" si="3"/>
        <v>53200</v>
      </c>
      <c r="N25" s="24">
        <f t="shared" si="4"/>
        <v>0.20176470588235279</v>
      </c>
      <c r="O25" s="22">
        <f t="shared" si="4"/>
        <v>0.19112359550561783</v>
      </c>
      <c r="Q25" s="8">
        <f t="shared" si="5"/>
        <v>53200</v>
      </c>
      <c r="R25" s="24">
        <f t="shared" si="6"/>
        <v>0.29895828500414245</v>
      </c>
      <c r="S25" s="22">
        <f t="shared" si="7"/>
        <v>0.28623180500181211</v>
      </c>
    </row>
    <row r="26" spans="2:19" ht="20.100000000000001" customHeight="1">
      <c r="I26" s="8">
        <f t="shared" si="1"/>
        <v>57000</v>
      </c>
      <c r="J26" s="24">
        <f t="shared" si="2"/>
        <v>0.1248876404494382</v>
      </c>
      <c r="K26" s="22">
        <f t="shared" si="2"/>
        <v>0.12106635071090047</v>
      </c>
      <c r="L26" s="35"/>
      <c r="M26" s="8">
        <f t="shared" si="3"/>
        <v>57000</v>
      </c>
      <c r="N26" s="24">
        <f t="shared" si="4"/>
        <v>0.20999999999999983</v>
      </c>
      <c r="O26" s="22">
        <f t="shared" si="4"/>
        <v>0.19996884735202478</v>
      </c>
      <c r="Q26" s="8">
        <f t="shared" si="5"/>
        <v>57000</v>
      </c>
      <c r="R26" s="24">
        <f t="shared" si="6"/>
        <v>0.30866123595505612</v>
      </c>
      <c r="S26" s="22">
        <f t="shared" si="7"/>
        <v>0.29682569945815052</v>
      </c>
    </row>
    <row r="27" spans="2:19" ht="20.100000000000001" customHeight="1">
      <c r="I27" s="8">
        <f t="shared" si="1"/>
        <v>60800</v>
      </c>
      <c r="J27" s="24">
        <f t="shared" si="2"/>
        <v>0.12775862068965518</v>
      </c>
      <c r="K27" s="22">
        <f t="shared" si="2"/>
        <v>0.12425170068027212</v>
      </c>
      <c r="L27" s="35"/>
      <c r="M27" s="8">
        <f t="shared" si="3"/>
        <v>60800</v>
      </c>
      <c r="N27" s="24">
        <f t="shared" si="4"/>
        <v>0.21777777777777763</v>
      </c>
      <c r="O27" s="22">
        <f t="shared" si="4"/>
        <v>0.20830559757942496</v>
      </c>
      <c r="Q27" s="8">
        <f t="shared" si="5"/>
        <v>60800</v>
      </c>
      <c r="R27" s="24">
        <f t="shared" si="6"/>
        <v>0.31771340996168573</v>
      </c>
      <c r="S27" s="22">
        <f t="shared" si="7"/>
        <v>0.30667497349923323</v>
      </c>
    </row>
    <row r="28" spans="2:19" ht="20.100000000000001" customHeight="1">
      <c r="I28" s="8">
        <f t="shared" si="1"/>
        <v>64600</v>
      </c>
      <c r="J28" s="24">
        <f t="shared" si="2"/>
        <v>0.13</v>
      </c>
      <c r="K28" s="22">
        <f t="shared" si="2"/>
        <v>0.12717391304347828</v>
      </c>
      <c r="L28" s="35"/>
      <c r="M28" s="8">
        <f t="shared" si="3"/>
        <v>64600</v>
      </c>
      <c r="N28" s="24">
        <f t="shared" si="4"/>
        <v>0.22513513513513495</v>
      </c>
      <c r="O28" s="22">
        <f t="shared" si="4"/>
        <v>0.21617647058823514</v>
      </c>
      <c r="Q28" s="8">
        <f t="shared" si="5"/>
        <v>64600</v>
      </c>
      <c r="R28" s="24">
        <f t="shared" si="6"/>
        <v>0.32586756756756741</v>
      </c>
      <c r="S28" s="22">
        <f t="shared" si="7"/>
        <v>0.31585837595907917</v>
      </c>
    </row>
    <row r="29" spans="2:19" ht="20.100000000000001" customHeight="1">
      <c r="I29" s="8">
        <f t="shared" si="1"/>
        <v>68400</v>
      </c>
      <c r="J29" s="24">
        <f t="shared" si="2"/>
        <v>0.13</v>
      </c>
      <c r="K29" s="22">
        <f t="shared" si="2"/>
        <v>0.1298643006263048</v>
      </c>
      <c r="L29" s="35"/>
      <c r="M29" s="8">
        <f t="shared" si="3"/>
        <v>68400</v>
      </c>
      <c r="N29" s="24">
        <f t="shared" si="4"/>
        <v>0.23210526315789459</v>
      </c>
      <c r="O29" s="22">
        <f t="shared" si="4"/>
        <v>0.22361945636623728</v>
      </c>
      <c r="Q29" s="8">
        <f t="shared" si="5"/>
        <v>68400</v>
      </c>
      <c r="R29" s="24">
        <f t="shared" si="6"/>
        <v>0.33193157894736824</v>
      </c>
      <c r="S29" s="22">
        <f t="shared" si="7"/>
        <v>0.32444357268510615</v>
      </c>
    </row>
    <row r="30" spans="2:19" ht="20.100000000000001" customHeight="1">
      <c r="B30"/>
      <c r="I30" s="8">
        <f t="shared" si="1"/>
        <v>72200</v>
      </c>
      <c r="J30" s="24">
        <f t="shared" si="2"/>
        <v>0.13</v>
      </c>
      <c r="K30" s="22">
        <f t="shared" si="2"/>
        <v>0.13</v>
      </c>
      <c r="L30" s="35"/>
      <c r="M30" s="8">
        <f t="shared" si="3"/>
        <v>72200</v>
      </c>
      <c r="N30" s="24">
        <f t="shared" si="4"/>
        <v>0.23871794871794852</v>
      </c>
      <c r="O30" s="22">
        <f t="shared" si="4"/>
        <v>0.23066852367688004</v>
      </c>
      <c r="Q30" s="8">
        <f t="shared" si="5"/>
        <v>72200</v>
      </c>
      <c r="R30" s="24">
        <f t="shared" si="6"/>
        <v>0.33768461538461514</v>
      </c>
      <c r="S30" s="22">
        <f t="shared" si="7"/>
        <v>0.33068161559888565</v>
      </c>
    </row>
    <row r="31" spans="2:19" ht="20.100000000000001" customHeight="1">
      <c r="I31" s="8">
        <f t="shared" si="1"/>
        <v>76000</v>
      </c>
      <c r="J31" s="24">
        <f t="shared" si="2"/>
        <v>0.13</v>
      </c>
      <c r="K31" s="22">
        <f t="shared" si="2"/>
        <v>0.13</v>
      </c>
      <c r="L31" s="35"/>
      <c r="M31" s="8">
        <f t="shared" si="3"/>
        <v>76000</v>
      </c>
      <c r="N31" s="24">
        <f t="shared" si="4"/>
        <v>0.2449999999999998</v>
      </c>
      <c r="O31" s="22">
        <f t="shared" si="4"/>
        <v>0.23735413839891437</v>
      </c>
      <c r="Q31" s="8">
        <f t="shared" si="5"/>
        <v>76000</v>
      </c>
      <c r="R31" s="24">
        <f t="shared" si="6"/>
        <v>0.34314999999999984</v>
      </c>
      <c r="S31" s="22">
        <f t="shared" si="7"/>
        <v>0.33649810040705552</v>
      </c>
    </row>
    <row r="32" spans="2:19" ht="20.100000000000001" customHeight="1">
      <c r="I32" s="8">
        <f t="shared" si="1"/>
        <v>79800</v>
      </c>
      <c r="J32" s="24">
        <f t="shared" si="2"/>
        <v>0.13</v>
      </c>
      <c r="K32" s="22">
        <f t="shared" si="2"/>
        <v>0.13</v>
      </c>
      <c r="L32" s="35"/>
      <c r="M32" s="8">
        <f t="shared" si="3"/>
        <v>79800</v>
      </c>
      <c r="N32" s="24">
        <f t="shared" si="4"/>
        <v>0.2509756097560974</v>
      </c>
      <c r="O32" s="22">
        <f t="shared" si="4"/>
        <v>0.24370370370370353</v>
      </c>
      <c r="Q32" s="8">
        <f t="shared" si="5"/>
        <v>79800</v>
      </c>
      <c r="R32" s="24">
        <f t="shared" si="6"/>
        <v>0.34834878048780471</v>
      </c>
      <c r="S32" s="22">
        <f t="shared" si="7"/>
        <v>0.34202222222222212</v>
      </c>
    </row>
    <row r="33" spans="9:19" ht="20.100000000000001" customHeight="1">
      <c r="I33" s="8">
        <f t="shared" si="1"/>
        <v>83600</v>
      </c>
      <c r="J33" s="24">
        <f t="shared" si="2"/>
        <v>0.13</v>
      </c>
      <c r="K33" s="22">
        <f t="shared" si="2"/>
        <v>0.13</v>
      </c>
      <c r="L33" s="35"/>
      <c r="M33" s="8">
        <f t="shared" si="3"/>
        <v>83600</v>
      </c>
      <c r="N33" s="24">
        <f t="shared" si="4"/>
        <v>0.25666666666666654</v>
      </c>
      <c r="O33" s="22">
        <f t="shared" si="4"/>
        <v>0.24974193548387078</v>
      </c>
      <c r="Q33" s="8">
        <f t="shared" si="5"/>
        <v>83600</v>
      </c>
      <c r="R33" s="24">
        <f t="shared" si="6"/>
        <v>0.35329999999999995</v>
      </c>
      <c r="S33" s="22">
        <f t="shared" si="7"/>
        <v>0.34727548387096763</v>
      </c>
    </row>
    <row r="34" spans="9:19" ht="20.100000000000001" customHeight="1">
      <c r="I34" s="8">
        <f t="shared" si="1"/>
        <v>87400</v>
      </c>
      <c r="J34" s="24">
        <f t="shared" si="2"/>
        <v>0.13</v>
      </c>
      <c r="K34" s="22">
        <f t="shared" si="2"/>
        <v>0.13</v>
      </c>
      <c r="L34" s="35"/>
      <c r="M34" s="8">
        <f t="shared" si="3"/>
        <v>87400</v>
      </c>
      <c r="N34" s="24">
        <f t="shared" si="4"/>
        <v>0.2620930232558138</v>
      </c>
      <c r="O34" s="22">
        <f t="shared" si="4"/>
        <v>0.25549118387909309</v>
      </c>
      <c r="Q34" s="8">
        <f t="shared" si="5"/>
        <v>87400</v>
      </c>
      <c r="R34" s="24">
        <f t="shared" si="6"/>
        <v>0.3580209302325581</v>
      </c>
      <c r="S34" s="22">
        <f t="shared" si="7"/>
        <v>0.35227732997481098</v>
      </c>
    </row>
    <row r="35" spans="9:19" ht="20.100000000000001" customHeight="1">
      <c r="I35" s="8">
        <f t="shared" si="1"/>
        <v>91200</v>
      </c>
      <c r="J35" s="24">
        <f t="shared" si="2"/>
        <v>0.13</v>
      </c>
      <c r="K35" s="22">
        <f t="shared" si="2"/>
        <v>0.13</v>
      </c>
      <c r="L35" s="35"/>
      <c r="M35" s="8">
        <f t="shared" si="3"/>
        <v>91200</v>
      </c>
      <c r="N35" s="24">
        <f t="shared" si="4"/>
        <v>0.26727272727272711</v>
      </c>
      <c r="O35" s="22">
        <f t="shared" si="4"/>
        <v>0.26097170971709704</v>
      </c>
      <c r="Q35" s="8">
        <f t="shared" si="5"/>
        <v>91200</v>
      </c>
      <c r="R35" s="24">
        <f t="shared" si="6"/>
        <v>0.36252727272727259</v>
      </c>
      <c r="S35" s="22">
        <f t="shared" si="7"/>
        <v>0.35704538745387449</v>
      </c>
    </row>
    <row r="36" spans="9:19" ht="20.100000000000001" customHeight="1">
      <c r="I36" s="8">
        <f t="shared" si="1"/>
        <v>95000</v>
      </c>
      <c r="J36" s="24">
        <f t="shared" si="2"/>
        <v>0.13</v>
      </c>
      <c r="K36" s="22">
        <f t="shared" si="2"/>
        <v>0.13</v>
      </c>
      <c r="L36" s="35"/>
      <c r="M36" s="8">
        <f t="shared" si="3"/>
        <v>95000</v>
      </c>
      <c r="N36" s="24">
        <f t="shared" si="4"/>
        <v>0.27222222222222203</v>
      </c>
      <c r="O36" s="22">
        <f t="shared" si="4"/>
        <v>0.26620192307692286</v>
      </c>
      <c r="Q36" s="8">
        <f t="shared" si="5"/>
        <v>95000</v>
      </c>
      <c r="R36" s="24">
        <f t="shared" si="6"/>
        <v>0.36683333333333312</v>
      </c>
      <c r="S36" s="22">
        <f t="shared" si="7"/>
        <v>0.36159567307692286</v>
      </c>
    </row>
    <row r="37" spans="9:19" ht="20.100000000000001" customHeight="1">
      <c r="I37" s="8">
        <f t="shared" si="1"/>
        <v>98800</v>
      </c>
      <c r="J37" s="24">
        <f t="shared" si="2"/>
        <v>0.13</v>
      </c>
      <c r="K37" s="22">
        <f t="shared" si="2"/>
        <v>0.13</v>
      </c>
      <c r="L37" s="35"/>
      <c r="M37" s="8">
        <f t="shared" si="3"/>
        <v>98800</v>
      </c>
      <c r="N37" s="24">
        <f t="shared" si="4"/>
        <v>0.27695652173913027</v>
      </c>
      <c r="O37" s="22">
        <f t="shared" si="4"/>
        <v>0.27119858989424189</v>
      </c>
      <c r="Q37" s="8">
        <f t="shared" si="5"/>
        <v>98800</v>
      </c>
      <c r="R37" s="24">
        <f t="shared" si="6"/>
        <v>0.37095217391304336</v>
      </c>
      <c r="S37" s="22">
        <f t="shared" si="7"/>
        <v>0.36594277320799051</v>
      </c>
    </row>
    <row r="38" spans="9:19" ht="20.100000000000001" customHeight="1">
      <c r="I38" s="8">
        <f t="shared" si="1"/>
        <v>102600</v>
      </c>
      <c r="J38" s="24">
        <f t="shared" si="2"/>
        <v>0.13</v>
      </c>
      <c r="K38" s="22">
        <f t="shared" si="2"/>
        <v>0.13</v>
      </c>
      <c r="L38" s="35"/>
      <c r="M38" s="8">
        <f t="shared" si="3"/>
        <v>102600</v>
      </c>
      <c r="N38" s="24">
        <f t="shared" si="4"/>
        <v>0.28148936170212752</v>
      </c>
      <c r="O38" s="22">
        <f t="shared" si="4"/>
        <v>0.27597701149425274</v>
      </c>
      <c r="Q38" s="8">
        <f t="shared" si="5"/>
        <v>102600</v>
      </c>
      <c r="R38" s="24">
        <f t="shared" si="6"/>
        <v>0.37489574468085085</v>
      </c>
      <c r="S38" s="22">
        <f t="shared" si="7"/>
        <v>0.37009999999999998</v>
      </c>
    </row>
    <row r="39" spans="9:19" ht="20.100000000000001" customHeight="1">
      <c r="I39" s="8">
        <f t="shared" si="1"/>
        <v>106400</v>
      </c>
      <c r="J39" s="24">
        <f t="shared" si="2"/>
        <v>0.13</v>
      </c>
      <c r="K39" s="22">
        <f t="shared" si="2"/>
        <v>0.13</v>
      </c>
      <c r="L39" s="35"/>
      <c r="M39" s="8">
        <f t="shared" si="3"/>
        <v>106400</v>
      </c>
      <c r="N39" s="24">
        <f t="shared" si="4"/>
        <v>0.28583333333333316</v>
      </c>
      <c r="O39" s="22">
        <f t="shared" si="4"/>
        <v>0.28055118110236205</v>
      </c>
      <c r="Q39" s="8">
        <f t="shared" si="5"/>
        <v>106400</v>
      </c>
      <c r="R39" s="24">
        <f t="shared" si="6"/>
        <v>0.37867499999999987</v>
      </c>
      <c r="S39" s="22">
        <f t="shared" si="7"/>
        <v>0.37407952755905494</v>
      </c>
    </row>
    <row r="40" spans="9:19" ht="20.100000000000001" customHeight="1">
      <c r="I40" s="8">
        <f t="shared" si="1"/>
        <v>110200</v>
      </c>
      <c r="J40" s="24">
        <f t="shared" si="2"/>
        <v>0.13</v>
      </c>
      <c r="K40" s="22">
        <f t="shared" si="2"/>
        <v>0.13</v>
      </c>
      <c r="L40" s="35"/>
      <c r="M40" s="8">
        <f t="shared" si="3"/>
        <v>110200</v>
      </c>
      <c r="N40" s="24">
        <f t="shared" si="4"/>
        <v>0.28999999999999987</v>
      </c>
      <c r="O40" s="22">
        <f t="shared" si="4"/>
        <v>0.28493392070484563</v>
      </c>
      <c r="Q40" s="8">
        <f t="shared" si="5"/>
        <v>110200</v>
      </c>
      <c r="R40" s="24">
        <f t="shared" si="6"/>
        <v>0.38229999999999986</v>
      </c>
      <c r="S40" s="22">
        <f t="shared" si="7"/>
        <v>0.37789251101321564</v>
      </c>
    </row>
    <row r="41" spans="9:19" ht="20.100000000000001" customHeight="1">
      <c r="I41" s="8">
        <f t="shared" si="1"/>
        <v>114000</v>
      </c>
      <c r="J41" s="24">
        <f t="shared" si="2"/>
        <v>0.13</v>
      </c>
      <c r="K41" s="22">
        <f t="shared" si="2"/>
        <v>0.13</v>
      </c>
      <c r="L41" s="35"/>
      <c r="M41" s="8">
        <f t="shared" si="3"/>
        <v>114000</v>
      </c>
      <c r="N41" s="24">
        <f t="shared" si="4"/>
        <v>0.29399999999999987</v>
      </c>
      <c r="O41" s="22">
        <f t="shared" si="4"/>
        <v>0.28913700107874851</v>
      </c>
      <c r="Q41" s="8">
        <f t="shared" si="5"/>
        <v>114000</v>
      </c>
      <c r="R41" s="24">
        <f t="shared" si="6"/>
        <v>0.38577999999999979</v>
      </c>
      <c r="S41" s="22">
        <f t="shared" si="7"/>
        <v>0.38154919093851125</v>
      </c>
    </row>
    <row r="42" spans="9:19" ht="20.100000000000001" customHeight="1">
      <c r="I42" s="8">
        <f t="shared" si="1"/>
        <v>117800</v>
      </c>
      <c r="J42" s="24">
        <f t="shared" si="2"/>
        <v>0.13</v>
      </c>
      <c r="K42" s="22">
        <f t="shared" si="2"/>
        <v>0.13</v>
      </c>
      <c r="L42" s="35"/>
      <c r="M42" s="8">
        <f t="shared" si="3"/>
        <v>117800</v>
      </c>
      <c r="N42" s="24">
        <f t="shared" si="4"/>
        <v>0.2978431372549018</v>
      </c>
      <c r="O42" s="22">
        <f t="shared" si="4"/>
        <v>0.29317124735729366</v>
      </c>
      <c r="Q42" s="8">
        <f t="shared" si="5"/>
        <v>117800</v>
      </c>
      <c r="R42" s="24">
        <f t="shared" si="6"/>
        <v>0.38912352941176453</v>
      </c>
      <c r="S42" s="22">
        <f t="shared" si="7"/>
        <v>0.38505898520084547</v>
      </c>
    </row>
    <row r="43" spans="9:19" ht="20.100000000000001" customHeight="1">
      <c r="I43" s="8">
        <f t="shared" si="1"/>
        <v>121600</v>
      </c>
      <c r="J43" s="24">
        <f t="shared" si="2"/>
        <v>0.13</v>
      </c>
      <c r="K43" s="22">
        <f t="shared" si="2"/>
        <v>0.13</v>
      </c>
      <c r="L43" s="35"/>
      <c r="M43" s="8">
        <f t="shared" si="3"/>
        <v>121600</v>
      </c>
      <c r="N43" s="24">
        <f t="shared" si="4"/>
        <v>0.30153846153846137</v>
      </c>
      <c r="O43" s="22">
        <f t="shared" si="4"/>
        <v>0.29704663212435217</v>
      </c>
      <c r="Q43" s="8">
        <f t="shared" si="5"/>
        <v>121600</v>
      </c>
      <c r="R43" s="24">
        <f t="shared" si="6"/>
        <v>0.3923384615384613</v>
      </c>
      <c r="S43" s="22">
        <f t="shared" si="7"/>
        <v>0.38843056994818637</v>
      </c>
    </row>
    <row r="44" spans="9:19" ht="20.100000000000001" customHeight="1">
      <c r="I44" s="8">
        <f t="shared" si="1"/>
        <v>125400</v>
      </c>
      <c r="J44" s="24">
        <f t="shared" ref="J44:K61" si="8">IFERROR(IF((J$5+1)/(J$5+($J$4/($I44-J$8)))*J$6&lt;=IF(J$7&lt;&gt;"N",J$6,999),IF((J$5+1)/(J$5+($J$4/($I44-J$8)))*J$6&gt;=0,(J$5+1)/(J$5+($J$4/($I44-J$8)))*J$6,0),J$6),0)</f>
        <v>0.13</v>
      </c>
      <c r="K44" s="22">
        <f t="shared" si="8"/>
        <v>0.13</v>
      </c>
      <c r="L44" s="35"/>
      <c r="M44" s="8">
        <f t="shared" si="3"/>
        <v>125400</v>
      </c>
      <c r="N44" s="24">
        <f t="shared" ref="N44:O61" si="9">IFERROR(IF((N$5+1)/(N$5+($N$4/($M44-N$8)))*N$6&lt;=IF(N$7&lt;&gt;"N",N$6,999),IF((N$5+1)/(N$5+($N$4/($M44-N$8)))*N$6&gt;=0,(N$5+1)/(N$5+($N$4/($M44-N$8)))*N$6,0),N$6),0)</f>
        <v>0.30509433962264132</v>
      </c>
      <c r="O44" s="22">
        <f t="shared" si="9"/>
        <v>0.30077235772357713</v>
      </c>
      <c r="Q44" s="8">
        <f t="shared" si="5"/>
        <v>125400</v>
      </c>
      <c r="R44" s="24">
        <f t="shared" si="6"/>
        <v>0.3954320754716979</v>
      </c>
      <c r="S44" s="22">
        <f t="shared" si="7"/>
        <v>0.39167195121951215</v>
      </c>
    </row>
    <row r="45" spans="9:19" ht="20.100000000000001" customHeight="1">
      <c r="I45" s="8">
        <f t="shared" si="1"/>
        <v>129200</v>
      </c>
      <c r="J45" s="24">
        <f t="shared" si="8"/>
        <v>0.13</v>
      </c>
      <c r="K45" s="22">
        <f t="shared" si="8"/>
        <v>0.13</v>
      </c>
      <c r="L45" s="35"/>
      <c r="M45" s="8">
        <f t="shared" si="3"/>
        <v>129200</v>
      </c>
      <c r="N45" s="24">
        <f t="shared" si="9"/>
        <v>0.30851851851851836</v>
      </c>
      <c r="O45" s="22">
        <f t="shared" si="9"/>
        <v>0.30435692921236274</v>
      </c>
      <c r="Q45" s="8">
        <f t="shared" si="5"/>
        <v>129200</v>
      </c>
      <c r="R45" s="24">
        <f t="shared" si="6"/>
        <v>0.39841111111111105</v>
      </c>
      <c r="S45" s="22">
        <f t="shared" si="7"/>
        <v>0.39479052841475548</v>
      </c>
    </row>
    <row r="46" spans="9:19" ht="20.100000000000001" customHeight="1">
      <c r="I46" s="8">
        <f t="shared" si="1"/>
        <v>133000</v>
      </c>
      <c r="J46" s="24">
        <f t="shared" si="8"/>
        <v>0.13</v>
      </c>
      <c r="K46" s="22">
        <f t="shared" si="8"/>
        <v>0.13</v>
      </c>
      <c r="L46" s="35"/>
      <c r="M46" s="8">
        <f t="shared" si="3"/>
        <v>133000</v>
      </c>
      <c r="N46" s="24">
        <f t="shared" si="9"/>
        <v>0.31181818181818161</v>
      </c>
      <c r="O46" s="22">
        <f t="shared" si="9"/>
        <v>0.30780821917808204</v>
      </c>
      <c r="Q46" s="8">
        <f t="shared" si="5"/>
        <v>133000</v>
      </c>
      <c r="R46" s="24">
        <f t="shared" si="6"/>
        <v>0.40128181818181796</v>
      </c>
      <c r="S46" s="22">
        <f t="shared" si="7"/>
        <v>0.39779315068493137</v>
      </c>
    </row>
    <row r="47" spans="9:19" ht="20.100000000000001" customHeight="1">
      <c r="I47" s="8">
        <f t="shared" si="1"/>
        <v>136800</v>
      </c>
      <c r="J47" s="24">
        <f t="shared" si="8"/>
        <v>0.13</v>
      </c>
      <c r="K47" s="22">
        <f t="shared" si="8"/>
        <v>0.13</v>
      </c>
      <c r="L47" s="35"/>
      <c r="M47" s="8">
        <f t="shared" si="3"/>
        <v>136800</v>
      </c>
      <c r="N47" s="24">
        <f t="shared" si="9"/>
        <v>0.31499999999999984</v>
      </c>
      <c r="O47" s="22">
        <f t="shared" si="9"/>
        <v>0.31113352545629192</v>
      </c>
      <c r="Q47" s="8">
        <f t="shared" si="5"/>
        <v>136800</v>
      </c>
      <c r="R47" s="24">
        <f t="shared" si="6"/>
        <v>0.40404999999999991</v>
      </c>
      <c r="S47" s="22">
        <f t="shared" si="7"/>
        <v>0.40068616714697392</v>
      </c>
    </row>
    <row r="48" spans="9:19" ht="20.100000000000001" customHeight="1">
      <c r="I48" s="8">
        <f t="shared" si="1"/>
        <v>140600</v>
      </c>
      <c r="J48" s="24">
        <f t="shared" si="8"/>
        <v>0.13</v>
      </c>
      <c r="K48" s="22">
        <f t="shared" si="8"/>
        <v>0.13</v>
      </c>
      <c r="L48" s="35"/>
      <c r="M48" s="8">
        <f t="shared" si="3"/>
        <v>140600</v>
      </c>
      <c r="N48" s="24">
        <f t="shared" si="9"/>
        <v>0.31807017543859634</v>
      </c>
      <c r="O48" s="22">
        <f t="shared" si="9"/>
        <v>0.31433962264150928</v>
      </c>
      <c r="Q48" s="8">
        <f t="shared" si="5"/>
        <v>140600</v>
      </c>
      <c r="R48" s="24">
        <f t="shared" si="6"/>
        <v>0.40672105263157887</v>
      </c>
      <c r="S48" s="22">
        <f t="shared" si="7"/>
        <v>0.40347547169811304</v>
      </c>
    </row>
    <row r="49" spans="9:19" ht="20.100000000000001" customHeight="1">
      <c r="I49" s="8">
        <f t="shared" si="1"/>
        <v>144400</v>
      </c>
      <c r="J49" s="24">
        <f t="shared" si="8"/>
        <v>0.13</v>
      </c>
      <c r="K49" s="22">
        <f t="shared" si="8"/>
        <v>0.13</v>
      </c>
      <c r="L49" s="35"/>
      <c r="M49" s="8">
        <f t="shared" si="3"/>
        <v>144400</v>
      </c>
      <c r="N49" s="24">
        <f t="shared" si="9"/>
        <v>0.32103448275862051</v>
      </c>
      <c r="O49" s="22">
        <f t="shared" si="9"/>
        <v>0.31743280815569958</v>
      </c>
      <c r="Q49" s="8">
        <f t="shared" si="5"/>
        <v>144400</v>
      </c>
      <c r="R49" s="24">
        <f t="shared" si="6"/>
        <v>0.40929999999999978</v>
      </c>
      <c r="S49" s="22">
        <f t="shared" si="7"/>
        <v>0.40616654309545863</v>
      </c>
    </row>
    <row r="50" spans="9:19" ht="20.100000000000001" customHeight="1">
      <c r="I50" s="8">
        <f t="shared" si="1"/>
        <v>148200</v>
      </c>
      <c r="J50" s="24">
        <f t="shared" si="8"/>
        <v>0.13</v>
      </c>
      <c r="K50" s="22">
        <f t="shared" si="8"/>
        <v>0.13</v>
      </c>
      <c r="L50" s="35"/>
      <c r="M50" s="8">
        <f t="shared" si="3"/>
        <v>148200</v>
      </c>
      <c r="N50" s="24">
        <f t="shared" si="9"/>
        <v>0.3238983050847456</v>
      </c>
      <c r="O50" s="22">
        <f t="shared" si="9"/>
        <v>0.32041894353369749</v>
      </c>
      <c r="Q50" s="8">
        <f t="shared" si="5"/>
        <v>148200</v>
      </c>
      <c r="R50" s="24">
        <f t="shared" si="6"/>
        <v>0.41179152542372865</v>
      </c>
      <c r="S50" s="22">
        <f t="shared" si="7"/>
        <v>0.40876448087431683</v>
      </c>
    </row>
    <row r="51" spans="9:19" ht="20.100000000000001" customHeight="1">
      <c r="I51" s="8">
        <f t="shared" si="1"/>
        <v>152000</v>
      </c>
      <c r="J51" s="24">
        <f t="shared" si="8"/>
        <v>0.13</v>
      </c>
      <c r="K51" s="22">
        <f t="shared" si="8"/>
        <v>0.13</v>
      </c>
      <c r="L51" s="35"/>
      <c r="M51" s="8">
        <f t="shared" si="3"/>
        <v>152000</v>
      </c>
      <c r="N51" s="24">
        <f t="shared" si="9"/>
        <v>0.32666666666666649</v>
      </c>
      <c r="O51" s="22">
        <f t="shared" si="9"/>
        <v>0.32330349149507592</v>
      </c>
      <c r="Q51" s="8">
        <f t="shared" si="5"/>
        <v>152000</v>
      </c>
      <c r="R51" s="24">
        <f t="shared" si="6"/>
        <v>0.41419999999999979</v>
      </c>
      <c r="S51" s="22">
        <f t="shared" si="7"/>
        <v>0.41127403760071601</v>
      </c>
    </row>
    <row r="52" spans="9:19" ht="20.100000000000001" customHeight="1">
      <c r="I52" s="8">
        <f t="shared" si="1"/>
        <v>155800</v>
      </c>
      <c r="J52" s="24">
        <f t="shared" si="8"/>
        <v>0.13</v>
      </c>
      <c r="K52" s="22">
        <f t="shared" si="8"/>
        <v>0.13</v>
      </c>
      <c r="L52" s="35"/>
      <c r="M52" s="8">
        <f t="shared" si="3"/>
        <v>155800</v>
      </c>
      <c r="N52" s="24">
        <f t="shared" si="9"/>
        <v>0.32934426229508179</v>
      </c>
      <c r="O52" s="22">
        <f t="shared" si="9"/>
        <v>0.3260915492957745</v>
      </c>
      <c r="Q52" s="8">
        <f t="shared" si="5"/>
        <v>155800</v>
      </c>
      <c r="R52" s="24">
        <f t="shared" si="6"/>
        <v>0.41652950819672108</v>
      </c>
      <c r="S52" s="22">
        <f t="shared" si="7"/>
        <v>0.41369964788732383</v>
      </c>
    </row>
    <row r="53" spans="9:19" ht="20.100000000000001" customHeight="1">
      <c r="I53" s="8">
        <f t="shared" si="1"/>
        <v>159600</v>
      </c>
      <c r="J53" s="24">
        <f t="shared" si="8"/>
        <v>0.13</v>
      </c>
      <c r="K53" s="22">
        <f t="shared" si="8"/>
        <v>0.13</v>
      </c>
      <c r="L53" s="35"/>
      <c r="M53" s="8">
        <f t="shared" si="3"/>
        <v>159600</v>
      </c>
      <c r="N53" s="24">
        <f t="shared" si="9"/>
        <v>0.33193548387096761</v>
      </c>
      <c r="O53" s="22">
        <f t="shared" si="9"/>
        <v>0.32878787878787863</v>
      </c>
      <c r="Q53" s="8">
        <f t="shared" si="5"/>
        <v>159600</v>
      </c>
      <c r="R53" s="24">
        <f t="shared" si="6"/>
        <v>0.41878387096774183</v>
      </c>
      <c r="S53" s="22">
        <f t="shared" si="7"/>
        <v>0.41604545454545439</v>
      </c>
    </row>
    <row r="54" spans="9:19" ht="20.100000000000001" customHeight="1">
      <c r="I54" s="8">
        <f t="shared" si="1"/>
        <v>163400</v>
      </c>
      <c r="J54" s="24">
        <f t="shared" si="8"/>
        <v>0.13</v>
      </c>
      <c r="K54" s="22">
        <f t="shared" si="8"/>
        <v>0.13</v>
      </c>
      <c r="L54" s="35"/>
      <c r="M54" s="8">
        <f t="shared" si="3"/>
        <v>163400</v>
      </c>
      <c r="N54" s="24">
        <f t="shared" si="9"/>
        <v>0.33444444444444432</v>
      </c>
      <c r="O54" s="22">
        <f t="shared" si="9"/>
        <v>0.33139693356047689</v>
      </c>
      <c r="Q54" s="8">
        <f t="shared" si="5"/>
        <v>163400</v>
      </c>
      <c r="R54" s="24">
        <f t="shared" si="6"/>
        <v>0.4209666666666666</v>
      </c>
      <c r="S54" s="22">
        <f t="shared" si="7"/>
        <v>0.41831533219761496</v>
      </c>
    </row>
    <row r="55" spans="9:19" ht="20.100000000000001" customHeight="1">
      <c r="I55" s="8">
        <f t="shared" si="1"/>
        <v>167200</v>
      </c>
      <c r="J55" s="24">
        <f t="shared" si="8"/>
        <v>0.13</v>
      </c>
      <c r="K55" s="22">
        <f t="shared" si="8"/>
        <v>0.13</v>
      </c>
      <c r="L55" s="35"/>
      <c r="M55" s="8">
        <f t="shared" si="3"/>
        <v>167200</v>
      </c>
      <c r="N55" s="24">
        <f t="shared" si="9"/>
        <v>0.33687499999999987</v>
      </c>
      <c r="O55" s="22">
        <f t="shared" si="9"/>
        <v>0.33392288348700738</v>
      </c>
      <c r="Q55" s="8">
        <f t="shared" si="5"/>
        <v>167200</v>
      </c>
      <c r="R55" s="24">
        <f t="shared" si="6"/>
        <v>0.42308124999999985</v>
      </c>
      <c r="S55" s="22">
        <f t="shared" si="7"/>
        <v>0.42051290863369639</v>
      </c>
    </row>
    <row r="56" spans="9:19" ht="20.100000000000001" customHeight="1">
      <c r="I56" s="8">
        <f t="shared" si="1"/>
        <v>171000</v>
      </c>
      <c r="J56" s="24">
        <f t="shared" si="8"/>
        <v>0.13</v>
      </c>
      <c r="K56" s="22">
        <f t="shared" si="8"/>
        <v>0.13</v>
      </c>
      <c r="L56" s="35"/>
      <c r="M56" s="8">
        <f t="shared" si="3"/>
        <v>171000</v>
      </c>
      <c r="N56" s="24">
        <f t="shared" si="9"/>
        <v>0.33923076923076911</v>
      </c>
      <c r="O56" s="22">
        <f t="shared" si="9"/>
        <v>0.33636963696369626</v>
      </c>
      <c r="Q56" s="8">
        <f t="shared" si="5"/>
        <v>171000</v>
      </c>
      <c r="R56" s="24">
        <f t="shared" si="6"/>
        <v>0.42513076923076909</v>
      </c>
      <c r="S56" s="22">
        <f t="shared" si="7"/>
        <v>0.4226415841584158</v>
      </c>
    </row>
    <row r="57" spans="9:19" ht="20.100000000000001" customHeight="1">
      <c r="I57" s="8">
        <f t="shared" si="1"/>
        <v>174800</v>
      </c>
      <c r="J57" s="24">
        <f t="shared" si="8"/>
        <v>0.13</v>
      </c>
      <c r="K57" s="22">
        <f t="shared" si="8"/>
        <v>0.13</v>
      </c>
      <c r="L57" s="35"/>
      <c r="M57" s="8">
        <f t="shared" si="3"/>
        <v>174800</v>
      </c>
      <c r="N57" s="24">
        <f t="shared" si="9"/>
        <v>0.34151515151515138</v>
      </c>
      <c r="O57" s="22">
        <f t="shared" si="9"/>
        <v>0.33874086108854573</v>
      </c>
      <c r="Q57" s="8">
        <f t="shared" si="5"/>
        <v>174800</v>
      </c>
      <c r="R57" s="24">
        <f t="shared" si="6"/>
        <v>0.42711818181818162</v>
      </c>
      <c r="S57" s="22">
        <f t="shared" si="7"/>
        <v>0.42470454914703482</v>
      </c>
    </row>
    <row r="58" spans="9:19" ht="20.100000000000001" customHeight="1">
      <c r="I58" s="8">
        <f t="shared" si="1"/>
        <v>178600</v>
      </c>
      <c r="J58" s="24">
        <f t="shared" si="8"/>
        <v>0.13</v>
      </c>
      <c r="K58" s="22">
        <f t="shared" si="8"/>
        <v>0.13</v>
      </c>
      <c r="L58" s="35"/>
      <c r="M58" s="8">
        <f t="shared" si="3"/>
        <v>178600</v>
      </c>
      <c r="N58" s="24">
        <f t="shared" si="9"/>
        <v>0.3437313432835819</v>
      </c>
      <c r="O58" s="22">
        <f t="shared" si="9"/>
        <v>0.34103999999999984</v>
      </c>
      <c r="Q58" s="8">
        <f t="shared" si="5"/>
        <v>178600</v>
      </c>
      <c r="R58" s="24">
        <f t="shared" si="6"/>
        <v>0.42904626865671625</v>
      </c>
      <c r="S58" s="22">
        <f t="shared" si="7"/>
        <v>0.42670479999999977</v>
      </c>
    </row>
    <row r="59" spans="9:19" ht="20.100000000000001" customHeight="1">
      <c r="I59" s="8">
        <f t="shared" si="1"/>
        <v>182400</v>
      </c>
      <c r="J59" s="24">
        <f t="shared" si="8"/>
        <v>0.13</v>
      </c>
      <c r="K59" s="22">
        <f t="shared" si="8"/>
        <v>0.13</v>
      </c>
      <c r="L59" s="35"/>
      <c r="M59" s="8">
        <f t="shared" si="3"/>
        <v>182400</v>
      </c>
      <c r="N59" s="24">
        <f t="shared" si="9"/>
        <v>0.34588235294117636</v>
      </c>
      <c r="O59" s="22">
        <f t="shared" si="9"/>
        <v>0.34327029156816374</v>
      </c>
      <c r="Q59" s="8">
        <f t="shared" si="5"/>
        <v>182400</v>
      </c>
      <c r="R59" s="24">
        <f t="shared" si="6"/>
        <v>0.43091764705882341</v>
      </c>
      <c r="S59" s="22">
        <f t="shared" si="7"/>
        <v>0.42864515366430256</v>
      </c>
    </row>
    <row r="60" spans="9:19" ht="20.100000000000001" customHeight="1">
      <c r="I60" s="8">
        <f>$I$11+($I$61-$I$11)/(ROW($I$61)-ROW($I$11))*(ROW($I60)-ROW($I$11))</f>
        <v>186200</v>
      </c>
      <c r="J60" s="24">
        <f t="shared" si="8"/>
        <v>0.13</v>
      </c>
      <c r="K60" s="22">
        <f t="shared" si="8"/>
        <v>0.13</v>
      </c>
      <c r="L60" s="35"/>
      <c r="M60" s="8">
        <f t="shared" si="3"/>
        <v>186200</v>
      </c>
      <c r="N60" s="24">
        <f t="shared" si="9"/>
        <v>0.34797101449275347</v>
      </c>
      <c r="O60" s="22">
        <f t="shared" si="9"/>
        <v>0.34543478260869548</v>
      </c>
      <c r="Q60" s="8">
        <f t="shared" si="5"/>
        <v>186200</v>
      </c>
      <c r="R60" s="24">
        <f t="shared" si="6"/>
        <v>0.43273478260869558</v>
      </c>
      <c r="S60" s="22">
        <f t="shared" si="7"/>
        <v>0.43052826086956497</v>
      </c>
    </row>
    <row r="61" spans="9:19" ht="20.100000000000001" customHeight="1">
      <c r="I61" s="9">
        <f>$D$24</f>
        <v>190000</v>
      </c>
      <c r="J61" s="24">
        <f t="shared" si="8"/>
        <v>0.13</v>
      </c>
      <c r="K61" s="22">
        <f t="shared" si="8"/>
        <v>0.13</v>
      </c>
      <c r="L61" s="35"/>
      <c r="M61" s="8">
        <f t="shared" si="3"/>
        <v>190000</v>
      </c>
      <c r="N61" s="24">
        <f t="shared" si="9"/>
        <v>0.34999999999999987</v>
      </c>
      <c r="O61" s="22">
        <f t="shared" si="9"/>
        <v>0.34753634276970147</v>
      </c>
      <c r="Q61" s="8">
        <f t="shared" si="5"/>
        <v>190000</v>
      </c>
      <c r="R61" s="24">
        <f t="shared" si="6"/>
        <v>0.43449999999999989</v>
      </c>
      <c r="S61" s="22">
        <f t="shared" si="7"/>
        <v>0.43235661820964033</v>
      </c>
    </row>
    <row r="62" spans="9:19" ht="20.100000000000001" customHeight="1">
      <c r="I62" s="1"/>
      <c r="M62" s="1"/>
      <c r="Q62" s="1"/>
    </row>
  </sheetData>
  <mergeCells count="3">
    <mergeCell ref="B1:G1"/>
    <mergeCell ref="B24:C24"/>
    <mergeCell ref="Q8:S8"/>
  </mergeCells>
  <conditionalFormatting sqref="B3:G9">
    <cfRule type="expression" dxfId="3" priority="3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21"/>
  <sheetViews>
    <sheetView workbookViewId="0" xr3:uid="{C67EF94B-0B3B-5838-830C-E3A509766221}"/>
  </sheetViews>
  <sheetFormatPr defaultColWidth="11.5703125" defaultRowHeight="20.100000000000001" customHeight="1"/>
  <cols>
    <col min="1" max="1" width="6.5703125" style="1" customWidth="1"/>
    <col min="2" max="7" width="15.5703125" style="2" customWidth="1"/>
    <col min="8" max="8" width="6.5703125" style="1" customWidth="1"/>
    <col min="9" max="14" width="15.5703125" style="2" customWidth="1"/>
    <col min="15" max="16384" width="11.5703125" style="1"/>
  </cols>
  <sheetData>
    <row r="1" spans="2:14" ht="20.100000000000001" customHeight="1">
      <c r="B1" s="44" t="s">
        <v>35</v>
      </c>
      <c r="C1" s="45"/>
      <c r="D1" s="45"/>
      <c r="E1" s="45"/>
      <c r="F1" s="45"/>
      <c r="G1" s="46"/>
      <c r="I1" s="44" t="s">
        <v>36</v>
      </c>
      <c r="J1" s="45"/>
      <c r="K1" s="45"/>
      <c r="L1" s="45"/>
      <c r="M1" s="45"/>
      <c r="N1" s="46"/>
    </row>
    <row r="15" spans="2:14" ht="20.100000000000001" customHeight="1">
      <c r="B15" s="11"/>
      <c r="I15" s="11"/>
    </row>
    <row r="21" spans="2:9" ht="20.100000000000001" customHeight="1">
      <c r="B21"/>
      <c r="I21"/>
    </row>
  </sheetData>
  <mergeCells count="2">
    <mergeCell ref="B1:G1"/>
    <mergeCell ref="I1:N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2"/>
  <sheetViews>
    <sheetView workbookViewId="0" xr3:uid="{274F5AE0-5452-572F-8038-C13FFDA59D49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44" t="s">
        <v>37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104</v>
      </c>
      <c r="D3" s="10">
        <v>1.6</v>
      </c>
      <c r="E3" s="14">
        <v>0.4</v>
      </c>
      <c r="F3" s="10">
        <v>128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105</v>
      </c>
      <c r="C4" s="5">
        <v>105</v>
      </c>
      <c r="D4" s="10">
        <v>1.6</v>
      </c>
      <c r="E4" s="14">
        <v>0.4</v>
      </c>
      <c r="F4" s="10">
        <f>2720/21</f>
        <v>129.52380952380952</v>
      </c>
      <c r="G4" s="7"/>
      <c r="I4" s="27" t="s">
        <v>11</v>
      </c>
      <c r="J4" s="28">
        <f>SUMPRODUCT(($A$3:$A$98="&gt;")*($F$3:$F$98))*$J$1+SUMPRODUCT(($A$3:$A$98="&gt;")*($G$3:$G$98))+J$8</f>
        <v>54400</v>
      </c>
      <c r="K4" s="18">
        <f>SUMPRODUCT(($A$3:$A$98="&gt;")*($F$3:$F$98))*$J$1+SUMPRODUCT(($A$3:$A$98="&gt;")*($G$3:$G$98))+K$8</f>
        <v>62160</v>
      </c>
    </row>
    <row r="5" spans="1:11" ht="20.100000000000001" customHeight="1">
      <c r="A5" s="3" t="str">
        <f>IF(AND($J$1&gt;=$B5,$J$1&lt;=$C5),"&gt;","")</f>
        <v>&gt;</v>
      </c>
      <c r="B5" s="5">
        <v>106</v>
      </c>
      <c r="C5" s="5">
        <v>115</v>
      </c>
      <c r="D5" s="10">
        <v>1.6</v>
      </c>
      <c r="E5" s="14">
        <v>0.4</v>
      </c>
      <c r="F5" s="10">
        <f>34000/9</f>
        <v>3777.7777777777778</v>
      </c>
      <c r="G5" s="7">
        <f>-3420400/9</f>
        <v>-380044.44444444444</v>
      </c>
      <c r="I5" s="27" t="s">
        <v>5</v>
      </c>
      <c r="J5" s="29">
        <f>SUMPRODUCT(($A$3:$A$98="&gt;")*($D$3:$D$98))</f>
        <v>1.6</v>
      </c>
      <c r="K5" s="19">
        <f>$J5</f>
        <v>1.6</v>
      </c>
    </row>
    <row r="6" spans="1:11" ht="20.100000000000001" customHeight="1">
      <c r="I6" s="27" t="s">
        <v>6</v>
      </c>
      <c r="J6" s="30">
        <f>SUMPRODUCT(($A$3:$A$98="&gt;")*($E$3:$E$98))</f>
        <v>0.4</v>
      </c>
      <c r="K6" s="20">
        <f>$J6</f>
        <v>0.4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f>INT($J$1*13.5)*5</f>
        <v>7760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1320</v>
      </c>
      <c r="J12" s="24">
        <f t="shared" ref="J12:K43" si="1">IFERROR(IF((J$5+1)/(J$5+($J$4/($I12-J$8)))*J$6&lt;=IF(J$7&lt;&gt;"N",J$6,999),IF((J$5+1)/(J$5+($J$4/($I12-J$8)))*J$6&gt;=0,(J$5+1)/(J$5+($J$4/($I12-J$8)))*J$6,0),J$6),0)</f>
        <v>2.4292185730464329E-2</v>
      </c>
      <c r="K12" s="22">
        <f t="shared" si="1"/>
        <v>0</v>
      </c>
    </row>
    <row r="13" spans="1:11" ht="20.100000000000001" customHeight="1">
      <c r="I13" s="8">
        <f t="shared" si="0"/>
        <v>2640</v>
      </c>
      <c r="J13" s="24">
        <f t="shared" si="1"/>
        <v>4.6834061135371183E-2</v>
      </c>
      <c r="K13" s="22">
        <f t="shared" si="1"/>
        <v>0</v>
      </c>
    </row>
    <row r="14" spans="1:11" ht="20.100000000000001" customHeight="1">
      <c r="I14" s="8">
        <f t="shared" si="0"/>
        <v>3960</v>
      </c>
      <c r="J14" s="24">
        <f t="shared" si="1"/>
        <v>6.7808219178082205E-2</v>
      </c>
      <c r="K14" s="22">
        <f t="shared" si="1"/>
        <v>0</v>
      </c>
    </row>
    <row r="15" spans="1:11" ht="20.100000000000001" customHeight="1">
      <c r="I15" s="8">
        <f t="shared" si="0"/>
        <v>5280</v>
      </c>
      <c r="J15" s="24">
        <f t="shared" si="1"/>
        <v>8.7372708757637488E-2</v>
      </c>
      <c r="K15" s="22">
        <f t="shared" si="1"/>
        <v>0</v>
      </c>
    </row>
    <row r="16" spans="1:11" ht="20.100000000000001" customHeight="1">
      <c r="I16" s="8">
        <f t="shared" si="0"/>
        <v>6600</v>
      </c>
      <c r="J16" s="24">
        <f t="shared" si="1"/>
        <v>0.10566502463054189</v>
      </c>
      <c r="K16" s="22">
        <f t="shared" si="1"/>
        <v>0</v>
      </c>
    </row>
    <row r="17" spans="2:11" ht="20.100000000000001" customHeight="1">
      <c r="I17" s="8">
        <f t="shared" si="0"/>
        <v>7920</v>
      </c>
      <c r="J17" s="24">
        <f t="shared" si="1"/>
        <v>0.12280534351145041</v>
      </c>
      <c r="K17" s="22">
        <f t="shared" si="1"/>
        <v>3.0444964871194379E-3</v>
      </c>
    </row>
    <row r="18" spans="2:11" ht="20.100000000000001" customHeight="1">
      <c r="I18" s="8">
        <f t="shared" si="0"/>
        <v>9240</v>
      </c>
      <c r="J18" s="24">
        <f t="shared" si="1"/>
        <v>0.13889916743755784</v>
      </c>
      <c r="K18" s="22">
        <f t="shared" si="1"/>
        <v>2.7113866967305524E-2</v>
      </c>
    </row>
    <row r="19" spans="2:11" ht="20.100000000000001" customHeight="1">
      <c r="B19" s="11"/>
      <c r="I19" s="8">
        <f t="shared" si="0"/>
        <v>10560</v>
      </c>
      <c r="J19" s="24">
        <f t="shared" si="1"/>
        <v>0.15403949730700181</v>
      </c>
      <c r="K19" s="22">
        <f t="shared" si="1"/>
        <v>4.9456521739130441E-2</v>
      </c>
    </row>
    <row r="20" spans="2:11" ht="20.100000000000001" customHeight="1">
      <c r="B20" s="42" t="s">
        <v>18</v>
      </c>
      <c r="C20" s="43"/>
      <c r="D20" s="16">
        <f>ROUNDUP(MAX($J$4:$K$4)*1.05,-LEN(TEXT(MAX($J$4:$K$4)*1.05,"0"))+2)</f>
        <v>66000</v>
      </c>
      <c r="I20" s="8">
        <f t="shared" si="0"/>
        <v>11880</v>
      </c>
      <c r="J20" s="24">
        <f t="shared" si="1"/>
        <v>0.16830863121185702</v>
      </c>
      <c r="K20" s="22">
        <f t="shared" si="1"/>
        <v>7.0251836306400847E-2</v>
      </c>
    </row>
    <row r="21" spans="2:11" ht="20.100000000000001" customHeight="1">
      <c r="I21" s="8">
        <f t="shared" si="0"/>
        <v>13200</v>
      </c>
      <c r="J21" s="24">
        <f t="shared" si="1"/>
        <v>0.1817796610169492</v>
      </c>
      <c r="K21" s="22">
        <f t="shared" si="1"/>
        <v>8.9655172413793116E-2</v>
      </c>
    </row>
    <row r="22" spans="2:11" ht="20.100000000000001" customHeight="1">
      <c r="I22" s="8">
        <f t="shared" si="0"/>
        <v>14520</v>
      </c>
      <c r="J22" s="24">
        <f t="shared" si="1"/>
        <v>0.19451772464962902</v>
      </c>
      <c r="K22" s="22">
        <f t="shared" si="1"/>
        <v>0.10780176643768401</v>
      </c>
    </row>
    <row r="23" spans="2:11" ht="20.100000000000001" customHeight="1">
      <c r="I23" s="8">
        <f t="shared" si="0"/>
        <v>15840</v>
      </c>
      <c r="J23" s="24">
        <f t="shared" si="1"/>
        <v>0.20658105939004817</v>
      </c>
      <c r="K23" s="22">
        <f t="shared" si="1"/>
        <v>0.12480988593155894</v>
      </c>
    </row>
    <row r="24" spans="2:11" ht="20.100000000000001" customHeight="1">
      <c r="I24" s="8">
        <f t="shared" si="0"/>
        <v>17160</v>
      </c>
      <c r="J24" s="24">
        <f t="shared" si="1"/>
        <v>0.21802189210320561</v>
      </c>
      <c r="K24" s="22">
        <f t="shared" si="1"/>
        <v>0.14078341013824885</v>
      </c>
    </row>
    <row r="25" spans="2:11" ht="20.100000000000001" customHeight="1">
      <c r="I25" s="8">
        <f t="shared" si="0"/>
        <v>18480</v>
      </c>
      <c r="J25" s="24">
        <f t="shared" si="1"/>
        <v>0.22888719512195121</v>
      </c>
      <c r="K25" s="22">
        <f t="shared" si="1"/>
        <v>0.1558139534883721</v>
      </c>
    </row>
    <row r="26" spans="2:11" ht="20.100000000000001" customHeight="1">
      <c r="B26"/>
      <c r="I26" s="8">
        <f t="shared" si="0"/>
        <v>19800</v>
      </c>
      <c r="J26" s="24">
        <f t="shared" si="1"/>
        <v>0.23921933085501862</v>
      </c>
      <c r="K26" s="22">
        <f t="shared" si="1"/>
        <v>0.16998262380538662</v>
      </c>
    </row>
    <row r="27" spans="2:11" ht="20.100000000000001" customHeight="1">
      <c r="I27" s="8">
        <f t="shared" si="0"/>
        <v>21120</v>
      </c>
      <c r="J27" s="24">
        <f t="shared" si="1"/>
        <v>0.24905660377358491</v>
      </c>
      <c r="K27" s="22">
        <f t="shared" si="1"/>
        <v>0.18336148648648648</v>
      </c>
    </row>
    <row r="28" spans="2:11" ht="20.100000000000001" customHeight="1">
      <c r="I28" s="8">
        <f t="shared" si="0"/>
        <v>22440</v>
      </c>
      <c r="J28" s="24">
        <f t="shared" si="1"/>
        <v>0.25843373493975907</v>
      </c>
      <c r="K28" s="22">
        <f t="shared" si="1"/>
        <v>0.19601479046836484</v>
      </c>
    </row>
    <row r="29" spans="2:11" ht="20.100000000000001" customHeight="1">
      <c r="I29" s="8">
        <f t="shared" si="0"/>
        <v>23760</v>
      </c>
      <c r="J29" s="24">
        <f t="shared" si="1"/>
        <v>0.26738227146814408</v>
      </c>
      <c r="K29" s="22">
        <f t="shared" si="1"/>
        <v>0.20800000000000002</v>
      </c>
    </row>
    <row r="30" spans="2:11" ht="20.100000000000001" customHeight="1">
      <c r="I30" s="8">
        <f t="shared" si="0"/>
        <v>25080</v>
      </c>
      <c r="J30" s="24">
        <f t="shared" si="1"/>
        <v>0.27593094109681787</v>
      </c>
      <c r="K30" s="22">
        <f t="shared" si="1"/>
        <v>0.2193686671862822</v>
      </c>
    </row>
    <row r="31" spans="2:11" ht="20.100000000000001" customHeight="1">
      <c r="I31" s="8">
        <f t="shared" si="0"/>
        <v>26400</v>
      </c>
      <c r="J31" s="24">
        <f t="shared" si="1"/>
        <v>0.2841059602649007</v>
      </c>
      <c r="K31" s="22">
        <f t="shared" si="1"/>
        <v>0.23016717325227964</v>
      </c>
    </row>
    <row r="32" spans="2:11" ht="20.100000000000001" customHeight="1">
      <c r="I32" s="8">
        <f t="shared" si="0"/>
        <v>27720</v>
      </c>
      <c r="J32" s="24">
        <f t="shared" si="1"/>
        <v>0.29193130265716138</v>
      </c>
      <c r="K32" s="22">
        <f t="shared" si="1"/>
        <v>0.24043736100815419</v>
      </c>
    </row>
    <row r="33" spans="9:11" ht="20.100000000000001" customHeight="1">
      <c r="I33" s="8">
        <f t="shared" si="0"/>
        <v>29040</v>
      </c>
      <c r="J33" s="24">
        <f t="shared" si="1"/>
        <v>0.2994289340101523</v>
      </c>
      <c r="K33" s="22">
        <f t="shared" si="1"/>
        <v>0.25021707670043419</v>
      </c>
    </row>
    <row r="34" spans="9:11" ht="20.100000000000001" customHeight="1">
      <c r="I34" s="8">
        <f t="shared" si="0"/>
        <v>30360</v>
      </c>
      <c r="J34" s="24">
        <f t="shared" si="1"/>
        <v>0.30661901802361718</v>
      </c>
      <c r="K34" s="22">
        <f t="shared" si="1"/>
        <v>0.25954063604240285</v>
      </c>
    </row>
    <row r="35" spans="9:11" ht="20.100000000000001" customHeight="1">
      <c r="I35" s="8">
        <f t="shared" si="0"/>
        <v>31680</v>
      </c>
      <c r="J35" s="24">
        <f t="shared" si="1"/>
        <v>0.31352009744214376</v>
      </c>
      <c r="K35" s="22">
        <f t="shared" si="1"/>
        <v>0.26843922651933705</v>
      </c>
    </row>
    <row r="36" spans="9:11" ht="20.100000000000001" customHeight="1">
      <c r="I36" s="8">
        <f t="shared" si="0"/>
        <v>33000</v>
      </c>
      <c r="J36" s="24">
        <f t="shared" si="1"/>
        <v>0.32014925373134329</v>
      </c>
      <c r="K36" s="22">
        <f t="shared" si="1"/>
        <v>0.27694125590817015</v>
      </c>
    </row>
    <row r="37" spans="9:11" ht="20.100000000000001" customHeight="1">
      <c r="I37" s="8">
        <f t="shared" si="0"/>
        <v>34320</v>
      </c>
      <c r="J37" s="24">
        <f t="shared" si="1"/>
        <v>0.32652224824355974</v>
      </c>
      <c r="K37" s="22">
        <f t="shared" si="1"/>
        <v>0.28507265521796565</v>
      </c>
    </row>
    <row r="38" spans="9:11" ht="20.100000000000001" customHeight="1">
      <c r="I38" s="8">
        <f t="shared" si="0"/>
        <v>35640</v>
      </c>
      <c r="J38" s="24">
        <f t="shared" si="1"/>
        <v>0.33265364732912128</v>
      </c>
      <c r="K38" s="22">
        <f t="shared" si="1"/>
        <v>0.29285714285714287</v>
      </c>
    </row>
    <row r="39" spans="9:11" ht="20.100000000000001" customHeight="1">
      <c r="I39" s="8">
        <f t="shared" si="0"/>
        <v>36960</v>
      </c>
      <c r="J39" s="24">
        <f t="shared" si="1"/>
        <v>0.33855693348365279</v>
      </c>
      <c r="K39" s="22">
        <f t="shared" si="1"/>
        <v>0.30031645569620258</v>
      </c>
    </row>
    <row r="40" spans="9:11" ht="20.100000000000001" customHeight="1">
      <c r="I40" s="8">
        <f t="shared" si="0"/>
        <v>38280</v>
      </c>
      <c r="J40" s="24">
        <f t="shared" si="1"/>
        <v>0.3442446043165468</v>
      </c>
      <c r="K40" s="22">
        <f t="shared" si="1"/>
        <v>0.30747055176689403</v>
      </c>
    </row>
    <row r="41" spans="9:11" ht="20.100000000000001" customHeight="1">
      <c r="I41" s="8">
        <f t="shared" si="0"/>
        <v>39600</v>
      </c>
      <c r="J41" s="24">
        <f t="shared" si="1"/>
        <v>0.34972826086956527</v>
      </c>
      <c r="K41" s="22">
        <f t="shared" si="1"/>
        <v>0.3143377885783718</v>
      </c>
    </row>
    <row r="42" spans="9:11" ht="20.100000000000001" customHeight="1">
      <c r="I42" s="8">
        <f t="shared" si="0"/>
        <v>40920</v>
      </c>
      <c r="J42" s="24">
        <f t="shared" si="1"/>
        <v>0.35501868659903901</v>
      </c>
      <c r="K42" s="22">
        <f t="shared" si="1"/>
        <v>0.32093508040500301</v>
      </c>
    </row>
    <row r="43" spans="9:11" ht="20.100000000000001" customHeight="1">
      <c r="I43" s="8">
        <f t="shared" si="0"/>
        <v>42240</v>
      </c>
      <c r="J43" s="24">
        <f t="shared" si="1"/>
        <v>0.3601259181532005</v>
      </c>
      <c r="K43" s="22">
        <f t="shared" si="1"/>
        <v>0.32727803738317762</v>
      </c>
    </row>
    <row r="44" spans="9:11" ht="20.100000000000001" customHeight="1">
      <c r="I44" s="8">
        <f t="shared" si="0"/>
        <v>43560</v>
      </c>
      <c r="J44" s="24">
        <f t="shared" ref="J44:K61" si="2">IFERROR(IF((J$5+1)/(J$5+($J$4/($I44-J$8)))*J$6&lt;=IF(J$7&lt;&gt;"N",J$6,999),IF((J$5+1)/(J$5+($J$4/($I44-J$8)))*J$6&gt;=0,(J$5+1)/(J$5+($J$4/($I44-J$8)))*J$6,0),J$6),0)</f>
        <v>0.36505930892212479</v>
      </c>
      <c r="K44" s="22">
        <f t="shared" si="2"/>
        <v>0.33338108882521494</v>
      </c>
    </row>
    <row r="45" spans="9:11" ht="20.100000000000001" customHeight="1">
      <c r="I45" s="8">
        <f t="shared" si="0"/>
        <v>44880</v>
      </c>
      <c r="J45" s="24">
        <f t="shared" si="2"/>
        <v>0.36982758620689654</v>
      </c>
      <c r="K45" s="22">
        <f t="shared" si="2"/>
        <v>0.33925759280089995</v>
      </c>
    </row>
    <row r="46" spans="9:11" ht="20.100000000000001" customHeight="1">
      <c r="I46" s="8">
        <f t="shared" si="0"/>
        <v>46200</v>
      </c>
      <c r="J46" s="24">
        <f t="shared" si="2"/>
        <v>0.37443890274314218</v>
      </c>
      <c r="K46" s="22">
        <f t="shared" si="2"/>
        <v>0.34491993373826618</v>
      </c>
    </row>
    <row r="47" spans="9:11" ht="20.100000000000001" customHeight="1">
      <c r="I47" s="8">
        <f t="shared" si="0"/>
        <v>47520</v>
      </c>
      <c r="J47" s="24">
        <f t="shared" si="2"/>
        <v>0.37890088321884202</v>
      </c>
      <c r="K47" s="22">
        <f t="shared" si="2"/>
        <v>0.35037960954446856</v>
      </c>
    </row>
    <row r="48" spans="9:11" ht="20.100000000000001" customHeight="1">
      <c r="I48" s="8">
        <f t="shared" si="0"/>
        <v>48840</v>
      </c>
      <c r="J48" s="24">
        <f t="shared" si="2"/>
        <v>0.38322066634476104</v>
      </c>
      <c r="K48" s="22">
        <f t="shared" si="2"/>
        <v>0.35564730953649443</v>
      </c>
    </row>
    <row r="49" spans="9:12" ht="20.100000000000001" customHeight="1">
      <c r="I49" s="8">
        <f t="shared" si="0"/>
        <v>50160</v>
      </c>
      <c r="J49" s="24">
        <f t="shared" si="2"/>
        <v>0.38740494296577949</v>
      </c>
      <c r="K49" s="22">
        <f t="shared" si="2"/>
        <v>0.36073298429319373</v>
      </c>
    </row>
    <row r="50" spans="9:12" ht="20.100000000000001" customHeight="1">
      <c r="I50" s="8">
        <f t="shared" si="0"/>
        <v>51480</v>
      </c>
      <c r="J50" s="24">
        <f t="shared" si="2"/>
        <v>0.39145999064108561</v>
      </c>
      <c r="K50" s="22">
        <f t="shared" si="2"/>
        <v>0.36564590838908906</v>
      </c>
    </row>
    <row r="51" spans="9:12" ht="20.100000000000001" customHeight="1">
      <c r="I51" s="8">
        <f t="shared" si="0"/>
        <v>52800</v>
      </c>
      <c r="J51" s="24">
        <f t="shared" si="2"/>
        <v>0.39539170506912447</v>
      </c>
      <c r="K51" s="22">
        <f t="shared" si="2"/>
        <v>0.37039473684210522</v>
      </c>
    </row>
    <row r="52" spans="9:12" ht="20.100000000000001" customHeight="1">
      <c r="I52" s="8">
        <f t="shared" si="0"/>
        <v>54120</v>
      </c>
      <c r="J52" s="24">
        <f t="shared" si="2"/>
        <v>0.39920562868815251</v>
      </c>
      <c r="K52" s="22">
        <f t="shared" si="2"/>
        <v>0.37498755599800893</v>
      </c>
    </row>
    <row r="53" spans="9:12" ht="20.100000000000001" customHeight="1">
      <c r="I53" s="8">
        <f t="shared" si="0"/>
        <v>55440</v>
      </c>
      <c r="J53" s="24">
        <f t="shared" si="2"/>
        <v>0.4</v>
      </c>
      <c r="K53" s="22">
        <f t="shared" si="2"/>
        <v>0.3794319294809011</v>
      </c>
    </row>
    <row r="54" spans="9:12" ht="20.100000000000001" customHeight="1">
      <c r="I54" s="8">
        <f t="shared" si="0"/>
        <v>56760</v>
      </c>
      <c r="J54" s="24">
        <f t="shared" si="2"/>
        <v>0.4</v>
      </c>
      <c r="K54" s="22">
        <f t="shared" si="2"/>
        <v>0.38373493975903616</v>
      </c>
    </row>
    <row r="55" spans="9:12" ht="20.100000000000001" customHeight="1">
      <c r="I55" s="8">
        <f t="shared" si="0"/>
        <v>58080</v>
      </c>
      <c r="J55" s="24">
        <f t="shared" si="2"/>
        <v>0.4</v>
      </c>
      <c r="K55" s="22">
        <f t="shared" si="2"/>
        <v>0.38790322580645165</v>
      </c>
    </row>
    <row r="56" spans="9:12" ht="20.100000000000001" customHeight="1">
      <c r="I56" s="8">
        <f t="shared" si="0"/>
        <v>59400</v>
      </c>
      <c r="J56" s="24">
        <f t="shared" si="2"/>
        <v>0.4</v>
      </c>
      <c r="K56" s="22">
        <f t="shared" si="2"/>
        <v>0.3919430172816441</v>
      </c>
    </row>
    <row r="57" spans="9:12" ht="20.100000000000001" customHeight="1">
      <c r="I57" s="8">
        <f t="shared" si="0"/>
        <v>60720</v>
      </c>
      <c r="J57" s="24">
        <f t="shared" si="2"/>
        <v>0.4</v>
      </c>
      <c r="K57" s="22">
        <f t="shared" si="2"/>
        <v>0.39586016559337622</v>
      </c>
    </row>
    <row r="58" spans="9:12" ht="20.100000000000001" customHeight="1">
      <c r="I58" s="8">
        <f t="shared" si="0"/>
        <v>62040</v>
      </c>
      <c r="J58" s="24">
        <f t="shared" si="2"/>
        <v>0.4</v>
      </c>
      <c r="K58" s="22">
        <f t="shared" si="2"/>
        <v>0.39966017217942906</v>
      </c>
    </row>
    <row r="59" spans="9:12" ht="20.100000000000001" customHeight="1">
      <c r="I59" s="8">
        <f t="shared" si="0"/>
        <v>63360</v>
      </c>
      <c r="J59" s="24">
        <f t="shared" si="2"/>
        <v>0.4</v>
      </c>
      <c r="K59" s="22">
        <f t="shared" si="2"/>
        <v>0.4</v>
      </c>
      <c r="L59" s="3"/>
    </row>
    <row r="60" spans="9:12" ht="20.100000000000001" customHeight="1">
      <c r="I60" s="8">
        <f>$I$11+($I$61-$I$11)/(ROW($I$61)-ROW($I$11))*(ROW($I60)-ROW($I$11))</f>
        <v>64680</v>
      </c>
      <c r="J60" s="24">
        <f t="shared" si="2"/>
        <v>0.4</v>
      </c>
      <c r="K60" s="22">
        <f t="shared" si="2"/>
        <v>0.4</v>
      </c>
    </row>
    <row r="61" spans="9:12" ht="20.100000000000001" customHeight="1">
      <c r="I61" s="9">
        <f>$D$20</f>
        <v>66000</v>
      </c>
      <c r="J61" s="24">
        <f t="shared" si="2"/>
        <v>0.4</v>
      </c>
      <c r="K61" s="22">
        <f t="shared" si="2"/>
        <v>0.4</v>
      </c>
    </row>
    <row r="62" spans="9:12" ht="20.100000000000001" customHeight="1">
      <c r="I62" s="1"/>
    </row>
  </sheetData>
  <mergeCells count="2">
    <mergeCell ref="B1:G1"/>
    <mergeCell ref="B20:C20"/>
  </mergeCells>
  <conditionalFormatting sqref="B3:G5">
    <cfRule type="expression" dxfId="2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2"/>
  <sheetViews>
    <sheetView workbookViewId="0" xr3:uid="{33642244-9AC9-5136-AF77-195C889548CE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44" t="s">
        <v>38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104</v>
      </c>
      <c r="D3" s="10">
        <f>10/7</f>
        <v>1.4285714285714286</v>
      </c>
      <c r="E3" s="14">
        <v>0.5</v>
      </c>
      <c r="F3" s="10">
        <v>148.66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105</v>
      </c>
      <c r="C4" s="5">
        <v>105</v>
      </c>
      <c r="D4" s="10">
        <f>10/7</f>
        <v>1.4285714285714286</v>
      </c>
      <c r="E4" s="14">
        <v>0.5</v>
      </c>
      <c r="F4" s="10">
        <f>1047.625/7</f>
        <v>149.66071428571428</v>
      </c>
      <c r="G4" s="7"/>
      <c r="I4" s="27" t="s">
        <v>11</v>
      </c>
      <c r="J4" s="28">
        <f>SUMPRODUCT(($A$3:$A$98="&gt;")*($F$3:$F$98))*$J$1+SUMPRODUCT(($A$3:$A$98="&gt;")*($G$3:$G$98))+J$8</f>
        <v>62857.5</v>
      </c>
      <c r="K4" s="18">
        <f>SUMPRODUCT(($A$3:$A$98="&gt;")*($F$3:$F$98))*$J$1+SUMPRODUCT(($A$3:$A$98="&gt;")*($G$3:$G$98))+K$8</f>
        <v>70617.5</v>
      </c>
    </row>
    <row r="5" spans="1:11" ht="20.100000000000001" customHeight="1">
      <c r="A5" s="3" t="str">
        <f>IF(AND($J$1&gt;=$B5,$J$1&lt;=$C5),"&gt;","")</f>
        <v>&gt;</v>
      </c>
      <c r="B5" s="5">
        <v>106</v>
      </c>
      <c r="C5" s="5">
        <v>115</v>
      </c>
      <c r="D5" s="10">
        <f>10/7</f>
        <v>1.4285714285714286</v>
      </c>
      <c r="E5" s="14">
        <v>0.5</v>
      </c>
      <c r="F5" s="10">
        <f>13095.3125/3</f>
        <v>4365.104166666667</v>
      </c>
      <c r="G5" s="7">
        <f>-1317388.4375/3</f>
        <v>-439129.47916666669</v>
      </c>
      <c r="I5" s="27" t="s">
        <v>5</v>
      </c>
      <c r="J5" s="29">
        <f>SUMPRODUCT(($A$3:$A$98="&gt;")*($D$3:$D$98))</f>
        <v>1.4285714285714286</v>
      </c>
      <c r="K5" s="19">
        <f>$J5</f>
        <v>1.4285714285714286</v>
      </c>
    </row>
    <row r="6" spans="1:11" ht="20.100000000000001" customHeight="1">
      <c r="I6" s="27" t="s">
        <v>6</v>
      </c>
      <c r="J6" s="30">
        <f>SUMPRODUCT(($A$3:$A$98="&gt;")*($E$3:$E$98))</f>
        <v>0.5</v>
      </c>
      <c r="K6" s="20">
        <f>$J6</f>
        <v>0.5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f>INT($J$1*13.5)*5</f>
        <v>7760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1500</v>
      </c>
      <c r="J12" s="24">
        <f t="shared" ref="J12:K43" si="1">IFERROR(IF((J$5+1)/(J$5+($J$4/($I12-J$8)))*J$6&lt;=IF(J$7&lt;&gt;"N",J$6,999),IF((J$5+1)/(J$5+($J$4/($I12-J$8)))*J$6&gt;=0,(J$5+1)/(J$5+($J$4/($I12-J$8)))*J$6,0),J$6),0)</f>
        <v>2.8021824055911783E-2</v>
      </c>
      <c r="K12" s="22">
        <f t="shared" si="1"/>
        <v>0</v>
      </c>
    </row>
    <row r="13" spans="1:11" ht="20.100000000000001" customHeight="1">
      <c r="I13" s="8">
        <f t="shared" si="0"/>
        <v>3000</v>
      </c>
      <c r="J13" s="24">
        <f t="shared" si="1"/>
        <v>5.42550305583481E-2</v>
      </c>
      <c r="K13" s="22">
        <f t="shared" si="1"/>
        <v>0</v>
      </c>
    </row>
    <row r="14" spans="1:11" ht="20.100000000000001" customHeight="1">
      <c r="I14" s="8">
        <f t="shared" si="0"/>
        <v>4500</v>
      </c>
      <c r="J14" s="24">
        <f t="shared" si="1"/>
        <v>7.8865572857871866E-2</v>
      </c>
      <c r="K14" s="22">
        <f t="shared" si="1"/>
        <v>0</v>
      </c>
    </row>
    <row r="15" spans="1:11" ht="20.100000000000001" customHeight="1">
      <c r="I15" s="8">
        <f t="shared" si="0"/>
        <v>6000</v>
      </c>
      <c r="J15" s="24">
        <f t="shared" si="1"/>
        <v>0.10199949000255</v>
      </c>
      <c r="K15" s="22">
        <f t="shared" si="1"/>
        <v>0</v>
      </c>
    </row>
    <row r="16" spans="1:11" ht="20.100000000000001" customHeight="1">
      <c r="I16" s="8">
        <f t="shared" si="0"/>
        <v>7500</v>
      </c>
      <c r="J16" s="24">
        <f t="shared" si="1"/>
        <v>0.12378580686501522</v>
      </c>
      <c r="K16" s="22">
        <f t="shared" si="1"/>
        <v>0</v>
      </c>
    </row>
    <row r="17" spans="2:11" ht="20.100000000000001" customHeight="1">
      <c r="I17" s="8">
        <f t="shared" si="0"/>
        <v>9000</v>
      </c>
      <c r="J17" s="24">
        <f t="shared" si="1"/>
        <v>0.14433894179744436</v>
      </c>
      <c r="K17" s="22">
        <f t="shared" si="1"/>
        <v>2.3297837655627457E-2</v>
      </c>
    </row>
    <row r="18" spans="2:11" ht="20.100000000000001" customHeight="1">
      <c r="I18" s="8">
        <f t="shared" si="0"/>
        <v>10500</v>
      </c>
      <c r="J18" s="24">
        <f t="shared" si="1"/>
        <v>0.16376071669396014</v>
      </c>
      <c r="K18" s="22">
        <f t="shared" si="1"/>
        <v>4.9828573873695589E-2</v>
      </c>
    </row>
    <row r="19" spans="2:11" ht="20.100000000000001" customHeight="1">
      <c r="B19" s="11"/>
      <c r="I19" s="8">
        <f t="shared" si="0"/>
        <v>12000</v>
      </c>
      <c r="J19" s="24">
        <f t="shared" si="1"/>
        <v>0.1821420440087321</v>
      </c>
      <c r="K19" s="22">
        <f t="shared" si="1"/>
        <v>7.470939723571085E-2</v>
      </c>
    </row>
    <row r="20" spans="2:11" ht="20.100000000000001" customHeight="1">
      <c r="B20" s="42" t="s">
        <v>18</v>
      </c>
      <c r="C20" s="43"/>
      <c r="D20" s="16">
        <f>ROUNDUP(MAX($J$4:$K$4)*1.05,-LEN(TEXT(MAX($J$4:$K$4)*1.05,"0"))+2)</f>
        <v>75000</v>
      </c>
      <c r="I20" s="8">
        <f t="shared" si="0"/>
        <v>13500</v>
      </c>
      <c r="J20" s="24">
        <f t="shared" si="1"/>
        <v>0.19956434972021861</v>
      </c>
      <c r="K20" s="22">
        <f t="shared" si="1"/>
        <v>9.8089575343911634E-2</v>
      </c>
    </row>
    <row r="21" spans="2:11" ht="20.100000000000001" customHeight="1">
      <c r="I21" s="8">
        <f t="shared" si="0"/>
        <v>15000</v>
      </c>
      <c r="J21" s="24">
        <f t="shared" si="1"/>
        <v>0.2161007792339863</v>
      </c>
      <c r="K21" s="22">
        <f t="shared" si="1"/>
        <v>0.12010089724386591</v>
      </c>
    </row>
    <row r="22" spans="2:11" ht="20.100000000000001" customHeight="1">
      <c r="I22" s="8">
        <f t="shared" si="0"/>
        <v>16500</v>
      </c>
      <c r="J22" s="24">
        <f t="shared" si="1"/>
        <v>0.23181722389576903</v>
      </c>
      <c r="K22" s="22">
        <f t="shared" si="1"/>
        <v>0.14086015898673218</v>
      </c>
    </row>
    <row r="23" spans="2:11" ht="20.100000000000001" customHeight="1">
      <c r="I23" s="8">
        <f t="shared" si="0"/>
        <v>18000</v>
      </c>
      <c r="J23" s="24">
        <f t="shared" si="1"/>
        <v>0.24677319849516738</v>
      </c>
      <c r="K23" s="22">
        <f t="shared" si="1"/>
        <v>0.16047123676605474</v>
      </c>
    </row>
    <row r="24" spans="2:11" ht="20.100000000000001" customHeight="1">
      <c r="I24" s="8">
        <f t="shared" si="0"/>
        <v>19500</v>
      </c>
      <c r="J24" s="24">
        <f t="shared" si="1"/>
        <v>0.2610225943992347</v>
      </c>
      <c r="K24" s="22">
        <f t="shared" si="1"/>
        <v>0.17902682531922623</v>
      </c>
    </row>
    <row r="25" spans="2:11" ht="20.100000000000001" customHeight="1">
      <c r="I25" s="8">
        <f t="shared" si="0"/>
        <v>21000</v>
      </c>
      <c r="J25" s="24">
        <f t="shared" si="1"/>
        <v>0.27461432840642924</v>
      </c>
      <c r="K25" s="22">
        <f t="shared" si="1"/>
        <v>0.19660990299658021</v>
      </c>
    </row>
    <row r="26" spans="2:11" ht="20.100000000000001" customHeight="1">
      <c r="B26"/>
      <c r="I26" s="8">
        <f t="shared" si="0"/>
        <v>22500</v>
      </c>
      <c r="J26" s="24">
        <f t="shared" si="1"/>
        <v>0.28759290378607599</v>
      </c>
      <c r="K26" s="22">
        <f t="shared" si="1"/>
        <v>0.21329497235711462</v>
      </c>
    </row>
    <row r="27" spans="2:11" ht="20.100000000000001" customHeight="1">
      <c r="I27" s="8">
        <f t="shared" si="0"/>
        <v>24000</v>
      </c>
      <c r="J27" s="24">
        <f t="shared" si="1"/>
        <v>0.29999889706287847</v>
      </c>
      <c r="K27" s="22">
        <f t="shared" si="1"/>
        <v>0.22914911541701771</v>
      </c>
    </row>
    <row r="28" spans="2:11" ht="20.100000000000001" customHeight="1">
      <c r="I28" s="8">
        <f t="shared" si="0"/>
        <v>25500</v>
      </c>
      <c r="J28" s="24">
        <f t="shared" si="1"/>
        <v>0.31186938176481382</v>
      </c>
      <c r="K28" s="22">
        <f t="shared" si="1"/>
        <v>0.24423289507250134</v>
      </c>
    </row>
    <row r="29" spans="2:11" ht="20.100000000000001" customHeight="1">
      <c r="I29" s="8">
        <f t="shared" si="0"/>
        <v>27000</v>
      </c>
      <c r="J29" s="24">
        <f t="shared" si="1"/>
        <v>0.32323829845669561</v>
      </c>
      <c r="K29" s="22">
        <f t="shared" si="1"/>
        <v>0.25860112823715908</v>
      </c>
    </row>
    <row r="30" spans="2:11" ht="20.100000000000001" customHeight="1">
      <c r="I30" s="8">
        <f t="shared" si="0"/>
        <v>28500</v>
      </c>
      <c r="J30" s="24">
        <f t="shared" si="1"/>
        <v>0.33413677883869369</v>
      </c>
      <c r="K30" s="22">
        <f t="shared" si="1"/>
        <v>0.27230355150003283</v>
      </c>
    </row>
    <row r="31" spans="2:11" ht="20.100000000000001" customHeight="1">
      <c r="I31" s="8">
        <f t="shared" si="0"/>
        <v>30000</v>
      </c>
      <c r="J31" s="24">
        <f t="shared" si="1"/>
        <v>0.34459343042759993</v>
      </c>
      <c r="K31" s="22">
        <f t="shared" si="1"/>
        <v>0.28538539634134835</v>
      </c>
    </row>
    <row r="32" spans="2:11" ht="20.100000000000001" customHeight="1">
      <c r="I32" s="8">
        <f t="shared" si="0"/>
        <v>31500</v>
      </c>
      <c r="J32" s="24">
        <f t="shared" si="1"/>
        <v>0.3546345873026911</v>
      </c>
      <c r="K32" s="22">
        <f t="shared" si="1"/>
        <v>0.29788788792483056</v>
      </c>
    </row>
    <row r="33" spans="9:11" ht="20.100000000000001" customHeight="1">
      <c r="I33" s="8">
        <f t="shared" si="0"/>
        <v>33000</v>
      </c>
      <c r="J33" s="24">
        <f t="shared" si="1"/>
        <v>0.36428453154372881</v>
      </c>
      <c r="K33" s="22">
        <f t="shared" si="1"/>
        <v>0.30984867905589603</v>
      </c>
    </row>
    <row r="34" spans="9:11" ht="20.100000000000001" customHeight="1">
      <c r="I34" s="8">
        <f t="shared" si="0"/>
        <v>34500</v>
      </c>
      <c r="J34" s="24">
        <f t="shared" si="1"/>
        <v>0.37356568928124434</v>
      </c>
      <c r="K34" s="22">
        <f t="shared" si="1"/>
        <v>0.32130222892907506</v>
      </c>
    </row>
    <row r="35" spans="9:11" ht="20.100000000000001" customHeight="1">
      <c r="I35" s="8">
        <f t="shared" si="0"/>
        <v>36000</v>
      </c>
      <c r="J35" s="24">
        <f t="shared" si="1"/>
        <v>0.38249880469123532</v>
      </c>
      <c r="K35" s="22">
        <f t="shared" si="1"/>
        <v>0.33228013468945644</v>
      </c>
    </row>
    <row r="36" spans="9:11" ht="20.100000000000001" customHeight="1">
      <c r="I36" s="8">
        <f t="shared" si="0"/>
        <v>37500</v>
      </c>
      <c r="J36" s="24">
        <f t="shared" si="1"/>
        <v>0.39110309477578292</v>
      </c>
      <c r="K36" s="22">
        <f t="shared" si="1"/>
        <v>0.34281142252704594</v>
      </c>
    </row>
    <row r="37" spans="9:11" ht="20.100000000000001" customHeight="1">
      <c r="I37" s="8">
        <f t="shared" si="0"/>
        <v>39000</v>
      </c>
      <c r="J37" s="24">
        <f t="shared" si="1"/>
        <v>0.3993963873602791</v>
      </c>
      <c r="K37" s="22">
        <f t="shared" si="1"/>
        <v>0.35292280395134251</v>
      </c>
    </row>
    <row r="38" spans="9:11" ht="20.100000000000001" customHeight="1">
      <c r="I38" s="8">
        <f t="shared" si="0"/>
        <v>40500</v>
      </c>
      <c r="J38" s="24">
        <f t="shared" si="1"/>
        <v>0.40739524439276809</v>
      </c>
      <c r="K38" s="22">
        <f t="shared" si="1"/>
        <v>0.36263890201035315</v>
      </c>
    </row>
    <row r="39" spans="9:11" ht="20.100000000000001" customHeight="1">
      <c r="I39" s="8">
        <f t="shared" si="0"/>
        <v>42000</v>
      </c>
      <c r="J39" s="24">
        <f t="shared" si="1"/>
        <v>0.41511507233990602</v>
      </c>
      <c r="K39" s="22">
        <f t="shared" si="1"/>
        <v>0.37198245148756559</v>
      </c>
    </row>
    <row r="40" spans="9:11" ht="20.100000000000001" customHeight="1">
      <c r="I40" s="8">
        <f t="shared" si="0"/>
        <v>43500</v>
      </c>
      <c r="J40" s="24">
        <f t="shared" si="1"/>
        <v>0.42257022122793936</v>
      </c>
      <c r="K40" s="22">
        <f t="shared" si="1"/>
        <v>0.380974476503397</v>
      </c>
    </row>
    <row r="41" spans="9:11" ht="20.100000000000001" customHeight="1">
      <c r="I41" s="8">
        <f t="shared" si="0"/>
        <v>45000</v>
      </c>
      <c r="J41" s="24">
        <f t="shared" si="1"/>
        <v>0.42977407366833237</v>
      </c>
      <c r="K41" s="22">
        <f t="shared" si="1"/>
        <v>0.38963444844150535</v>
      </c>
    </row>
    <row r="42" spans="9:11" ht="20.100000000000001" customHeight="1">
      <c r="I42" s="8">
        <f t="shared" si="0"/>
        <v>46500</v>
      </c>
      <c r="J42" s="24">
        <f t="shared" si="1"/>
        <v>0.43673912503004136</v>
      </c>
      <c r="K42" s="22">
        <f t="shared" si="1"/>
        <v>0.39798042669680117</v>
      </c>
    </row>
    <row r="43" spans="9:11" ht="20.100000000000001" customHeight="1">
      <c r="I43" s="8">
        <f t="shared" si="0"/>
        <v>48000</v>
      </c>
      <c r="J43" s="24">
        <f t="shared" si="1"/>
        <v>0.4434770557688702</v>
      </c>
      <c r="K43" s="22">
        <f t="shared" si="1"/>
        <v>0.40602918438632368</v>
      </c>
    </row>
    <row r="44" spans="9:11" ht="20.100000000000001" customHeight="1">
      <c r="I44" s="8">
        <f t="shared" si="0"/>
        <v>49500</v>
      </c>
      <c r="J44" s="24">
        <f t="shared" ref="J44:K61" si="2">IFERROR(IF((J$5+1)/(J$5+($J$4/($I44-J$8)))*J$6&lt;=IF(J$7&lt;&gt;"N",J$6,999),IF((J$5+1)/(J$5+($J$4/($I44-J$8)))*J$6&gt;=0,(J$5+1)/(J$5+($J$4/($I44-J$8)))*J$6,0),J$6),0)</f>
        <v>0.44999879679466104</v>
      </c>
      <c r="K44" s="22">
        <f t="shared" si="2"/>
        <v>0.41379632086447155</v>
      </c>
    </row>
    <row r="45" spans="9:11" ht="20.100000000000001" customHeight="1">
      <c r="I45" s="8">
        <f t="shared" si="0"/>
        <v>51000</v>
      </c>
      <c r="J45" s="24">
        <f t="shared" si="2"/>
        <v>0.45631458864581936</v>
      </c>
      <c r="K45" s="22">
        <f t="shared" si="2"/>
        <v>0.42129636263078113</v>
      </c>
    </row>
    <row r="46" spans="9:11" ht="20.100000000000001" customHeight="1">
      <c r="I46" s="8">
        <f t="shared" si="0"/>
        <v>52500</v>
      </c>
      <c r="J46" s="24">
        <f t="shared" si="2"/>
        <v>0.46243403514498671</v>
      </c>
      <c r="K46" s="22">
        <f t="shared" si="2"/>
        <v>0.42854285400367931</v>
      </c>
    </row>
    <row r="47" spans="9:11" ht="20.100000000000001" customHeight="1">
      <c r="I47" s="8">
        <f t="shared" si="0"/>
        <v>54000</v>
      </c>
      <c r="J47" s="24">
        <f t="shared" si="2"/>
        <v>0.46836615212716298</v>
      </c>
      <c r="K47" s="22">
        <f t="shared" si="2"/>
        <v>0.4355484387510008</v>
      </c>
    </row>
    <row r="48" spans="9:11" ht="20.100000000000001" customHeight="1">
      <c r="I48" s="8">
        <f t="shared" si="0"/>
        <v>55500</v>
      </c>
      <c r="J48" s="24">
        <f t="shared" si="2"/>
        <v>0.47411941176027206</v>
      </c>
      <c r="K48" s="22">
        <f t="shared" si="2"/>
        <v>0.44232493371230192</v>
      </c>
    </row>
    <row r="49" spans="9:12" ht="20.100000000000001" customHeight="1">
      <c r="I49" s="8">
        <f t="shared" si="0"/>
        <v>57000</v>
      </c>
      <c r="J49" s="24">
        <f t="shared" si="2"/>
        <v>0.47970178291637894</v>
      </c>
      <c r="K49" s="22">
        <f t="shared" si="2"/>
        <v>0.44888339531479171</v>
      </c>
    </row>
    <row r="50" spans="9:12" ht="20.100000000000001" customHeight="1">
      <c r="I50" s="8">
        <f t="shared" si="0"/>
        <v>58500</v>
      </c>
      <c r="J50" s="24">
        <f t="shared" si="2"/>
        <v>0.48512076799812687</v>
      </c>
      <c r="K50" s="22">
        <f t="shared" si="2"/>
        <v>0.45523417977047775</v>
      </c>
    </row>
    <row r="51" spans="9:12" ht="20.100000000000001" customHeight="1">
      <c r="I51" s="8">
        <f t="shared" si="0"/>
        <v>60000</v>
      </c>
      <c r="J51" s="24">
        <f t="shared" si="2"/>
        <v>0.49038343657827743</v>
      </c>
      <c r="K51" s="22">
        <f t="shared" si="2"/>
        <v>0.46138699764391722</v>
      </c>
    </row>
    <row r="52" spans="9:12" ht="20.100000000000001" customHeight="1">
      <c r="I52" s="8">
        <f t="shared" si="0"/>
        <v>61500</v>
      </c>
      <c r="J52" s="24">
        <f t="shared" si="2"/>
        <v>0.49549645616953525</v>
      </c>
      <c r="K52" s="22">
        <f t="shared" si="2"/>
        <v>0.46735096339532589</v>
      </c>
    </row>
    <row r="53" spans="9:12" ht="20.100000000000001" customHeight="1">
      <c r="I53" s="8">
        <f t="shared" si="0"/>
        <v>63000</v>
      </c>
      <c r="J53" s="24">
        <f t="shared" si="2"/>
        <v>0.5</v>
      </c>
      <c r="K53" s="22">
        <f t="shared" si="2"/>
        <v>0.4731346404306721</v>
      </c>
    </row>
    <row r="54" spans="9:12" ht="20.100000000000001" customHeight="1">
      <c r="I54" s="8">
        <f t="shared" si="0"/>
        <v>64500</v>
      </c>
      <c r="J54" s="24">
        <f t="shared" si="2"/>
        <v>0.5</v>
      </c>
      <c r="K54" s="22">
        <f t="shared" si="2"/>
        <v>0.4787460821270545</v>
      </c>
    </row>
    <row r="55" spans="9:12" ht="20.100000000000001" customHeight="1">
      <c r="I55" s="8">
        <f t="shared" si="0"/>
        <v>66000</v>
      </c>
      <c r="J55" s="24">
        <f t="shared" si="2"/>
        <v>0.5</v>
      </c>
      <c r="K55" s="22">
        <f t="shared" si="2"/>
        <v>0.4841928692467008</v>
      </c>
    </row>
    <row r="56" spans="9:12" ht="20.100000000000001" customHeight="1">
      <c r="I56" s="8">
        <f t="shared" si="0"/>
        <v>67500</v>
      </c>
      <c r="J56" s="24">
        <f t="shared" si="2"/>
        <v>0.5</v>
      </c>
      <c r="K56" s="22">
        <f t="shared" si="2"/>
        <v>0.48948214410510871</v>
      </c>
    </row>
    <row r="57" spans="9:12" ht="20.100000000000001" customHeight="1">
      <c r="I57" s="8">
        <f t="shared" si="0"/>
        <v>69000</v>
      </c>
      <c r="J57" s="24">
        <f t="shared" si="2"/>
        <v>0.5</v>
      </c>
      <c r="K57" s="22">
        <f t="shared" si="2"/>
        <v>0.49462064181717552</v>
      </c>
    </row>
    <row r="58" spans="9:12" ht="20.100000000000001" customHeight="1">
      <c r="I58" s="8">
        <f t="shared" si="0"/>
        <v>70500</v>
      </c>
      <c r="J58" s="24">
        <f t="shared" si="2"/>
        <v>0.5</v>
      </c>
      <c r="K58" s="22">
        <f t="shared" si="2"/>
        <v>0.49961471890875286</v>
      </c>
    </row>
    <row r="59" spans="9:12" ht="20.100000000000001" customHeight="1">
      <c r="I59" s="8">
        <f t="shared" si="0"/>
        <v>72000</v>
      </c>
      <c r="J59" s="24">
        <f t="shared" si="2"/>
        <v>0.5</v>
      </c>
      <c r="K59" s="22">
        <f t="shared" si="2"/>
        <v>0.5</v>
      </c>
      <c r="L59" s="3"/>
    </row>
    <row r="60" spans="9:12" ht="20.100000000000001" customHeight="1">
      <c r="I60" s="8">
        <f>$I$11+($I$61-$I$11)/(ROW($I$61)-ROW($I$11))*(ROW($I60)-ROW($I$11))</f>
        <v>73500</v>
      </c>
      <c r="J60" s="24">
        <f t="shared" si="2"/>
        <v>0.5</v>
      </c>
      <c r="K60" s="22">
        <f t="shared" si="2"/>
        <v>0.5</v>
      </c>
    </row>
    <row r="61" spans="9:12" ht="20.100000000000001" customHeight="1">
      <c r="I61" s="9">
        <f>$D$20</f>
        <v>75000</v>
      </c>
      <c r="J61" s="24">
        <f t="shared" si="2"/>
        <v>0.5</v>
      </c>
      <c r="K61" s="22">
        <f t="shared" si="2"/>
        <v>0.5</v>
      </c>
    </row>
    <row r="62" spans="9:12" ht="20.100000000000001" customHeight="1">
      <c r="I62" s="1"/>
    </row>
  </sheetData>
  <mergeCells count="2">
    <mergeCell ref="B1:G1"/>
    <mergeCell ref="B20:C20"/>
  </mergeCells>
  <conditionalFormatting sqref="B3:G5">
    <cfRule type="expression" dxfId="1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2"/>
  <sheetViews>
    <sheetView workbookViewId="0" xr3:uid="{D624DF06-3800-545C-AC8D-BADC89115800}"/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44" t="s">
        <v>39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104</v>
      </c>
      <c r="D3" s="10">
        <v>1.2</v>
      </c>
      <c r="E3" s="14">
        <v>0.6</v>
      </c>
      <c r="F3" s="10">
        <v>166.5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105</v>
      </c>
      <c r="C4" s="5">
        <v>105</v>
      </c>
      <c r="D4" s="10">
        <v>1.2</v>
      </c>
      <c r="E4" s="14">
        <v>0.6</v>
      </c>
      <c r="F4" s="10">
        <f>1168/7</f>
        <v>166.85714285714286</v>
      </c>
      <c r="G4" s="7"/>
      <c r="I4" s="27" t="s">
        <v>11</v>
      </c>
      <c r="J4" s="28">
        <f>SUMPRODUCT(($A$3:$A$98="&gt;")*($F$3:$F$98))*$J$1+SUMPRODUCT(($A$3:$A$98="&gt;")*($G$3:$G$98))+J$8</f>
        <v>70080.000000000058</v>
      </c>
      <c r="K4" s="18">
        <f>SUMPRODUCT(($A$3:$A$98="&gt;")*($F$3:$F$98))*$J$1+SUMPRODUCT(($A$3:$A$98="&gt;")*($G$3:$G$98))+K$8</f>
        <v>77840.000000000058</v>
      </c>
    </row>
    <row r="5" spans="1:11" ht="20.100000000000001" customHeight="1">
      <c r="A5" s="3" t="str">
        <f>IF(AND($J$1&gt;=$B5,$J$1&lt;=$C5),"&gt;","")</f>
        <v>&gt;</v>
      </c>
      <c r="B5" s="5">
        <v>106</v>
      </c>
      <c r="C5" s="5">
        <v>115</v>
      </c>
      <c r="D5" s="10">
        <v>1.2</v>
      </c>
      <c r="E5" s="14">
        <v>0.6</v>
      </c>
      <c r="F5" s="10">
        <f>14600/3</f>
        <v>4866.666666666667</v>
      </c>
      <c r="G5" s="7">
        <f>-1468760/3</f>
        <v>-489586.66666666669</v>
      </c>
      <c r="I5" s="27" t="s">
        <v>5</v>
      </c>
      <c r="J5" s="29">
        <f>SUMPRODUCT(($A$3:$A$98="&gt;")*($D$3:$D$98))</f>
        <v>1.2</v>
      </c>
      <c r="K5" s="19">
        <f>$J5</f>
        <v>1.2</v>
      </c>
    </row>
    <row r="6" spans="1:11" ht="20.100000000000001" customHeight="1">
      <c r="I6" s="27" t="s">
        <v>6</v>
      </c>
      <c r="J6" s="30">
        <f>SUMPRODUCT(($A$3:$A$98="&gt;")*($E$3:$E$98))</f>
        <v>0.6</v>
      </c>
      <c r="K6" s="20">
        <f>$J6</f>
        <v>0.6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f>INT($J$1*13.5)*5</f>
        <v>7760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1640</v>
      </c>
      <c r="J12" s="24">
        <f t="shared" ref="J12:K43" si="1">IFERROR(IF((J$5+1)/(J$5+($J$4/($I12-J$8)))*J$6&lt;=IF(J$7&lt;&gt;"N",J$6,999),IF((J$5+1)/(J$5+($J$4/($I12-J$8)))*J$6&gt;=0,(J$5+1)/(J$5+($J$4/($I12-J$8)))*J$6,0),J$6),0)</f>
        <v>3.0046635576282451E-2</v>
      </c>
      <c r="K12" s="22">
        <f t="shared" si="1"/>
        <v>0</v>
      </c>
    </row>
    <row r="13" spans="1:11" ht="20.100000000000001" customHeight="1">
      <c r="I13" s="8">
        <f t="shared" si="0"/>
        <v>3280</v>
      </c>
      <c r="J13" s="24">
        <f t="shared" si="1"/>
        <v>5.8495460440985692E-2</v>
      </c>
      <c r="K13" s="22">
        <f t="shared" si="1"/>
        <v>0</v>
      </c>
    </row>
    <row r="14" spans="1:11" ht="20.100000000000001" customHeight="1">
      <c r="I14" s="8">
        <f t="shared" si="0"/>
        <v>4920</v>
      </c>
      <c r="J14" s="24">
        <f t="shared" si="1"/>
        <v>8.5470625394819907E-2</v>
      </c>
      <c r="K14" s="22">
        <f t="shared" si="1"/>
        <v>0</v>
      </c>
    </row>
    <row r="15" spans="1:11" ht="20.100000000000001" customHeight="1">
      <c r="I15" s="8">
        <f t="shared" si="0"/>
        <v>6560</v>
      </c>
      <c r="J15" s="24">
        <f t="shared" si="1"/>
        <v>0.11108374384236445</v>
      </c>
      <c r="K15" s="22">
        <f t="shared" si="1"/>
        <v>0</v>
      </c>
    </row>
    <row r="16" spans="1:11" ht="20.100000000000001" customHeight="1">
      <c r="I16" s="8">
        <f t="shared" si="0"/>
        <v>8200</v>
      </c>
      <c r="J16" s="24">
        <f t="shared" si="1"/>
        <v>0.13543543543543535</v>
      </c>
      <c r="K16" s="22">
        <f t="shared" si="1"/>
        <v>8.2256968048946243E-3</v>
      </c>
    </row>
    <row r="17" spans="2:11" ht="20.100000000000001" customHeight="1">
      <c r="I17" s="8">
        <f t="shared" si="0"/>
        <v>9840</v>
      </c>
      <c r="J17" s="24">
        <f t="shared" si="1"/>
        <v>0.15861664712778417</v>
      </c>
      <c r="K17" s="22">
        <f t="shared" si="1"/>
        <v>3.7830687830687791E-2</v>
      </c>
    </row>
    <row r="18" spans="2:11" ht="20.100000000000001" customHeight="1">
      <c r="I18" s="8">
        <f t="shared" si="0"/>
        <v>11480</v>
      </c>
      <c r="J18" s="24">
        <f t="shared" si="1"/>
        <v>0.18070978820835706</v>
      </c>
      <c r="K18" s="22">
        <f t="shared" si="1"/>
        <v>6.587250482936248E-2</v>
      </c>
    </row>
    <row r="19" spans="2:11" ht="20.100000000000001" customHeight="1">
      <c r="B19" s="11"/>
      <c r="I19" s="8">
        <f t="shared" si="0"/>
        <v>13120</v>
      </c>
      <c r="J19" s="24">
        <f t="shared" si="1"/>
        <v>0.20178970917225936</v>
      </c>
      <c r="K19" s="22">
        <f t="shared" si="1"/>
        <v>9.2471769134253395E-2</v>
      </c>
    </row>
    <row r="20" spans="2:11" ht="20.100000000000001" customHeight="1">
      <c r="B20" s="42" t="s">
        <v>18</v>
      </c>
      <c r="C20" s="43"/>
      <c r="D20" s="16">
        <f>ROUNDUP(MAX($J$4:$K$4)*1.05,-LEN(TEXT(MAX($J$4:$K$4)*1.05,"0"))+2)</f>
        <v>82000</v>
      </c>
      <c r="I20" s="8">
        <f t="shared" si="0"/>
        <v>14760</v>
      </c>
      <c r="J20" s="24">
        <f t="shared" si="1"/>
        <v>0.2219245489338435</v>
      </c>
      <c r="K20" s="22">
        <f t="shared" si="1"/>
        <v>0.1177370030581039</v>
      </c>
    </row>
    <row r="21" spans="2:11" ht="20.100000000000001" customHeight="1">
      <c r="I21" s="8">
        <f t="shared" si="0"/>
        <v>16400</v>
      </c>
      <c r="J21" s="24">
        <f t="shared" si="1"/>
        <v>0.24117647058823513</v>
      </c>
      <c r="K21" s="22">
        <f t="shared" si="1"/>
        <v>0.14176610978520277</v>
      </c>
    </row>
    <row r="22" spans="2:11" ht="20.100000000000001" customHeight="1">
      <c r="I22" s="8">
        <f t="shared" si="0"/>
        <v>18040</v>
      </c>
      <c r="J22" s="24">
        <f t="shared" si="1"/>
        <v>0.25960230245944516</v>
      </c>
      <c r="K22" s="22">
        <f t="shared" si="1"/>
        <v>0.16464764123471162</v>
      </c>
    </row>
    <row r="23" spans="2:11" ht="20.100000000000001" customHeight="1">
      <c r="I23" s="8">
        <f t="shared" si="0"/>
        <v>19680</v>
      </c>
      <c r="J23" s="24">
        <f t="shared" si="1"/>
        <v>0.27725409836065557</v>
      </c>
      <c r="K23" s="22">
        <f t="shared" si="1"/>
        <v>0.18646188850966997</v>
      </c>
    </row>
    <row r="24" spans="2:11" ht="20.100000000000001" customHeight="1">
      <c r="I24" s="8">
        <f t="shared" si="0"/>
        <v>21320</v>
      </c>
      <c r="J24" s="24">
        <f t="shared" si="1"/>
        <v>0.29417962870045145</v>
      </c>
      <c r="K24" s="22">
        <f t="shared" si="1"/>
        <v>0.20728182323513047</v>
      </c>
    </row>
    <row r="25" spans="2:11" ht="20.100000000000001" customHeight="1">
      <c r="I25" s="8">
        <f t="shared" si="0"/>
        <v>22960</v>
      </c>
      <c r="J25" s="24">
        <f t="shared" si="1"/>
        <v>0.31042281219272355</v>
      </c>
      <c r="K25" s="22">
        <f t="shared" si="1"/>
        <v>0.22717391304347812</v>
      </c>
    </row>
    <row r="26" spans="2:11" ht="20.100000000000001" customHeight="1">
      <c r="B26"/>
      <c r="I26" s="8">
        <f t="shared" si="0"/>
        <v>24600</v>
      </c>
      <c r="J26" s="24">
        <f t="shared" si="1"/>
        <v>0.32602409638554197</v>
      </c>
      <c r="K26" s="22">
        <f t="shared" si="1"/>
        <v>0.24619883040935658</v>
      </c>
    </row>
    <row r="27" spans="2:11" ht="20.100000000000001" customHeight="1">
      <c r="I27" s="8">
        <f t="shared" si="0"/>
        <v>26240</v>
      </c>
      <c r="J27" s="24">
        <f t="shared" si="1"/>
        <v>0.34102079395085044</v>
      </c>
      <c r="K27" s="22">
        <f t="shared" si="1"/>
        <v>0.26441207075962525</v>
      </c>
    </row>
    <row r="28" spans="2:11" ht="20.100000000000001" customHeight="1">
      <c r="I28" s="8">
        <f t="shared" si="0"/>
        <v>27880</v>
      </c>
      <c r="J28" s="24">
        <f t="shared" si="1"/>
        <v>0.35544738062123299</v>
      </c>
      <c r="K28" s="22">
        <f t="shared" si="1"/>
        <v>0.28186449312277112</v>
      </c>
    </row>
    <row r="29" spans="2:11" ht="20.100000000000001" customHeight="1">
      <c r="I29" s="8">
        <f t="shared" si="0"/>
        <v>29520</v>
      </c>
      <c r="J29" s="24">
        <f t="shared" si="1"/>
        <v>0.36933575978161948</v>
      </c>
      <c r="K29" s="22">
        <f t="shared" si="1"/>
        <v>0.29860279441117749</v>
      </c>
    </row>
    <row r="30" spans="2:11" ht="20.100000000000001" customHeight="1">
      <c r="I30" s="8">
        <f t="shared" si="0"/>
        <v>31160</v>
      </c>
      <c r="J30" s="24">
        <f t="shared" si="1"/>
        <v>0.38271549799017401</v>
      </c>
      <c r="K30" s="22">
        <f t="shared" si="1"/>
        <v>0.31466992665036653</v>
      </c>
    </row>
    <row r="31" spans="2:11" ht="20.100000000000001" customHeight="1">
      <c r="I31" s="8">
        <f t="shared" si="0"/>
        <v>32800</v>
      </c>
      <c r="J31" s="24">
        <f t="shared" si="1"/>
        <v>0.39561403508771908</v>
      </c>
      <c r="K31" s="22">
        <f t="shared" si="1"/>
        <v>0.33010546500479371</v>
      </c>
    </row>
    <row r="32" spans="2:11" ht="20.100000000000001" customHeight="1">
      <c r="I32" s="8">
        <f t="shared" si="0"/>
        <v>34440</v>
      </c>
      <c r="J32" s="24">
        <f t="shared" si="1"/>
        <v>0.40805687203791452</v>
      </c>
      <c r="K32" s="22">
        <f t="shared" si="1"/>
        <v>0.34494593323930406</v>
      </c>
    </row>
    <row r="33" spans="9:11" ht="20.100000000000001" customHeight="1">
      <c r="I33" s="8">
        <f t="shared" si="0"/>
        <v>36080</v>
      </c>
      <c r="J33" s="24">
        <f t="shared" si="1"/>
        <v>0.42006773920406415</v>
      </c>
      <c r="K33" s="22">
        <f t="shared" si="1"/>
        <v>0.35922509225092242</v>
      </c>
    </row>
    <row r="34" spans="9:11" ht="20.100000000000001" customHeight="1">
      <c r="I34" s="8">
        <f t="shared" si="0"/>
        <v>37720</v>
      </c>
      <c r="J34" s="24">
        <f t="shared" si="1"/>
        <v>0.43166874739908434</v>
      </c>
      <c r="K34" s="22">
        <f t="shared" si="1"/>
        <v>0.37297419646899033</v>
      </c>
    </row>
    <row r="35" spans="9:11" ht="20.100000000000001" customHeight="1">
      <c r="I35" s="8">
        <f t="shared" si="0"/>
        <v>39360</v>
      </c>
      <c r="J35" s="24">
        <f t="shared" si="1"/>
        <v>0.44288052373158732</v>
      </c>
      <c r="K35" s="22">
        <f t="shared" si="1"/>
        <v>0.38622222222222197</v>
      </c>
    </row>
    <row r="36" spans="9:11" ht="20.100000000000001" customHeight="1">
      <c r="I36" s="8">
        <f t="shared" si="0"/>
        <v>41000</v>
      </c>
      <c r="J36" s="24">
        <f t="shared" si="1"/>
        <v>0.4537223340040239</v>
      </c>
      <c r="K36" s="22">
        <f t="shared" si="1"/>
        <v>0.39899607158446077</v>
      </c>
    </row>
    <row r="37" spans="9:11" ht="20.100000000000001" customHeight="1">
      <c r="I37" s="8">
        <f t="shared" si="0"/>
        <v>42640</v>
      </c>
      <c r="J37" s="24">
        <f t="shared" si="1"/>
        <v>0.4642121931908153</v>
      </c>
      <c r="K37" s="22">
        <f t="shared" si="1"/>
        <v>0.41132075471698099</v>
      </c>
    </row>
    <row r="38" spans="9:11" ht="20.100000000000001" customHeight="1">
      <c r="I38" s="8">
        <f t="shared" si="0"/>
        <v>44280</v>
      </c>
      <c r="J38" s="24">
        <f t="shared" si="1"/>
        <v>0.47436696532917788</v>
      </c>
      <c r="K38" s="22">
        <f t="shared" si="1"/>
        <v>0.42321955330804872</v>
      </c>
    </row>
    <row r="39" spans="9:11" ht="20.100000000000001" customHeight="1">
      <c r="I39" s="8">
        <f t="shared" si="0"/>
        <v>45920</v>
      </c>
      <c r="J39" s="24">
        <f t="shared" si="1"/>
        <v>0.48420245398772982</v>
      </c>
      <c r="K39" s="22">
        <f t="shared" si="1"/>
        <v>0.43471416735708351</v>
      </c>
    </row>
    <row r="40" spans="9:11" ht="20.100000000000001" customHeight="1">
      <c r="I40" s="8">
        <f t="shared" si="0"/>
        <v>47560</v>
      </c>
      <c r="J40" s="24">
        <f t="shared" si="1"/>
        <v>0.49373348433371056</v>
      </c>
      <c r="K40" s="22">
        <f t="shared" si="1"/>
        <v>0.44582484725050897</v>
      </c>
    </row>
    <row r="41" spans="9:11" ht="20.100000000000001" customHeight="1">
      <c r="I41" s="8">
        <f t="shared" si="0"/>
        <v>49200</v>
      </c>
      <c r="J41" s="24">
        <f t="shared" si="1"/>
        <v>0.50297397769516705</v>
      </c>
      <c r="K41" s="22">
        <f t="shared" si="1"/>
        <v>0.45657051282051259</v>
      </c>
    </row>
    <row r="42" spans="9:11" ht="20.100000000000001" customHeight="1">
      <c r="I42" s="8">
        <f t="shared" si="0"/>
        <v>50840</v>
      </c>
      <c r="J42" s="24">
        <f t="shared" si="1"/>
        <v>0.51193701940681047</v>
      </c>
      <c r="K42" s="22">
        <f t="shared" si="1"/>
        <v>0.46696886085928241</v>
      </c>
    </row>
    <row r="43" spans="9:11" ht="20.100000000000001" customHeight="1">
      <c r="I43" s="8">
        <f t="shared" si="0"/>
        <v>52480</v>
      </c>
      <c r="J43" s="24">
        <f t="shared" si="1"/>
        <v>0.52063492063492045</v>
      </c>
      <c r="K43" s="22">
        <f t="shared" si="1"/>
        <v>0.4770364623739331</v>
      </c>
    </row>
    <row r="44" spans="9:11" ht="20.100000000000001" customHeight="1">
      <c r="I44" s="8">
        <f t="shared" si="0"/>
        <v>54120</v>
      </c>
      <c r="J44" s="24">
        <f t="shared" ref="J44:K61" si="2">IFERROR(IF((J$5+1)/(J$5+($J$4/($I44-J$8)))*J$6&lt;=IF(J$7&lt;&gt;"N",J$6,999),IF((J$5+1)/(J$5+($J$4/($I44-J$8)))*J$6&gt;=0,(J$5+1)/(J$5+($J$4/($I44-J$8)))*J$6,0),J$6),0)</f>
        <v>0.52907927479559169</v>
      </c>
      <c r="K44" s="22">
        <f t="shared" si="2"/>
        <v>0.48678885070637623</v>
      </c>
    </row>
    <row r="45" spans="9:11" ht="20.100000000000001" customHeight="1">
      <c r="I45" s="8">
        <f t="shared" si="0"/>
        <v>55760</v>
      </c>
      <c r="J45" s="24">
        <f t="shared" si="2"/>
        <v>0.53728100911002086</v>
      </c>
      <c r="K45" s="22">
        <f t="shared" si="2"/>
        <v>0.4962406015037592</v>
      </c>
    </row>
    <row r="46" spans="9:11" ht="20.100000000000001" customHeight="1">
      <c r="I46" s="8">
        <f t="shared" si="0"/>
        <v>57400</v>
      </c>
      <c r="J46" s="24">
        <f t="shared" si="2"/>
        <v>0.54525043177892896</v>
      </c>
      <c r="K46" s="22">
        <f t="shared" si="2"/>
        <v>0.50540540540540513</v>
      </c>
    </row>
    <row r="47" spans="9:11" ht="20.100000000000001" customHeight="1">
      <c r="I47" s="8">
        <f t="shared" si="0"/>
        <v>59040</v>
      </c>
      <c r="J47" s="24">
        <f t="shared" si="2"/>
        <v>0.5529972752043596</v>
      </c>
      <c r="K47" s="22">
        <f t="shared" si="2"/>
        <v>0.51429613420860665</v>
      </c>
    </row>
    <row r="48" spans="9:11" ht="20.100000000000001" customHeight="1">
      <c r="I48" s="8">
        <f t="shared" si="0"/>
        <v>60680</v>
      </c>
      <c r="J48" s="24">
        <f t="shared" si="2"/>
        <v>0.56053073563990563</v>
      </c>
      <c r="K48" s="22">
        <f t="shared" si="2"/>
        <v>0.52292490118577062</v>
      </c>
    </row>
    <row r="49" spans="9:12" ht="20.100000000000001" customHeight="1">
      <c r="I49" s="8">
        <f t="shared" si="0"/>
        <v>62320</v>
      </c>
      <c r="J49" s="24">
        <f t="shared" si="2"/>
        <v>0.56785950960901244</v>
      </c>
      <c r="K49" s="22">
        <f t="shared" si="2"/>
        <v>0.53130311614730863</v>
      </c>
    </row>
    <row r="50" spans="9:12" ht="20.100000000000001" customHeight="1">
      <c r="I50" s="8">
        <f t="shared" si="0"/>
        <v>63960</v>
      </c>
      <c r="J50" s="24">
        <f t="shared" si="2"/>
        <v>0.57499182739457322</v>
      </c>
      <c r="K50" s="22">
        <f t="shared" si="2"/>
        <v>0.53944153577661402</v>
      </c>
    </row>
    <row r="51" spans="9:12" ht="20.100000000000001" customHeight="1">
      <c r="I51" s="8">
        <f t="shared" si="0"/>
        <v>65600</v>
      </c>
      <c r="J51" s="24">
        <f t="shared" si="2"/>
        <v>0.5819354838709675</v>
      </c>
      <c r="K51" s="22">
        <f t="shared" si="2"/>
        <v>0.54735030970406029</v>
      </c>
    </row>
    <row r="52" spans="9:12" ht="20.100000000000001" customHeight="1">
      <c r="I52" s="8">
        <f t="shared" si="0"/>
        <v>67240</v>
      </c>
      <c r="J52" s="24">
        <f t="shared" si="2"/>
        <v>0.58869786692136239</v>
      </c>
      <c r="K52" s="22">
        <f t="shared" si="2"/>
        <v>0.55503902273498451</v>
      </c>
    </row>
    <row r="53" spans="9:12" ht="20.100000000000001" customHeight="1">
      <c r="I53" s="8">
        <f t="shared" si="0"/>
        <v>68880</v>
      </c>
      <c r="J53" s="24">
        <f t="shared" si="2"/>
        <v>0.5952859836580765</v>
      </c>
      <c r="K53" s="22">
        <f t="shared" si="2"/>
        <v>0.56251673360107068</v>
      </c>
    </row>
    <row r="54" spans="9:12" ht="20.100000000000001" customHeight="1">
      <c r="I54" s="8">
        <f t="shared" si="0"/>
        <v>70520</v>
      </c>
      <c r="J54" s="24">
        <f t="shared" si="2"/>
        <v>0.6</v>
      </c>
      <c r="K54" s="22">
        <f t="shared" si="2"/>
        <v>0.56979201056454254</v>
      </c>
    </row>
    <row r="55" spans="9:12" ht="20.100000000000001" customHeight="1">
      <c r="I55" s="8">
        <f t="shared" si="0"/>
        <v>72160</v>
      </c>
      <c r="J55" s="24">
        <f t="shared" si="2"/>
        <v>0.6</v>
      </c>
      <c r="K55" s="22">
        <f t="shared" si="2"/>
        <v>0.57687296416938094</v>
      </c>
    </row>
    <row r="56" spans="9:12" ht="20.100000000000001" customHeight="1">
      <c r="I56" s="8">
        <f t="shared" si="0"/>
        <v>73800</v>
      </c>
      <c r="J56" s="24">
        <f t="shared" si="2"/>
        <v>0.6</v>
      </c>
      <c r="K56" s="22">
        <f t="shared" si="2"/>
        <v>0.58376727740276413</v>
      </c>
    </row>
    <row r="57" spans="9:12" ht="20.100000000000001" customHeight="1">
      <c r="I57" s="8">
        <f t="shared" si="0"/>
        <v>75440</v>
      </c>
      <c r="J57" s="24">
        <f t="shared" si="2"/>
        <v>0.6</v>
      </c>
      <c r="K57" s="22">
        <f t="shared" si="2"/>
        <v>0.59048223350253792</v>
      </c>
    </row>
    <row r="58" spans="9:12" ht="20.100000000000001" customHeight="1">
      <c r="I58" s="8">
        <f t="shared" si="0"/>
        <v>77080</v>
      </c>
      <c r="J58" s="24">
        <f t="shared" si="2"/>
        <v>0.6</v>
      </c>
      <c r="K58" s="22">
        <f t="shared" si="2"/>
        <v>0.59702474162229846</v>
      </c>
    </row>
    <row r="59" spans="9:12" ht="20.100000000000001" customHeight="1">
      <c r="I59" s="8">
        <f t="shared" si="0"/>
        <v>78720</v>
      </c>
      <c r="J59" s="24">
        <f t="shared" si="2"/>
        <v>0.6</v>
      </c>
      <c r="K59" s="22">
        <f t="shared" si="2"/>
        <v>0.6</v>
      </c>
      <c r="L59" s="3"/>
    </row>
    <row r="60" spans="9:12" ht="20.100000000000001" customHeight="1">
      <c r="I60" s="8">
        <f>$I$11+($I$61-$I$11)/(ROW($I$61)-ROW($I$11))*(ROW($I60)-ROW($I$11))</f>
        <v>80360</v>
      </c>
      <c r="J60" s="24">
        <f t="shared" si="2"/>
        <v>0.6</v>
      </c>
      <c r="K60" s="22">
        <f t="shared" si="2"/>
        <v>0.6</v>
      </c>
    </row>
    <row r="61" spans="9:12" ht="20.100000000000001" customHeight="1">
      <c r="I61" s="9">
        <f>$D$20</f>
        <v>82000</v>
      </c>
      <c r="J61" s="24">
        <f t="shared" si="2"/>
        <v>0.6</v>
      </c>
      <c r="K61" s="22">
        <f t="shared" si="2"/>
        <v>0.6</v>
      </c>
    </row>
    <row r="62" spans="9:12" ht="20.100000000000001" customHeight="1">
      <c r="I62" s="1"/>
    </row>
  </sheetData>
  <mergeCells count="2">
    <mergeCell ref="B1:G1"/>
    <mergeCell ref="B20:C20"/>
  </mergeCells>
  <conditionalFormatting sqref="B3:G5">
    <cfRule type="expression" dxfId="0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workbookViewId="0" xr3:uid="{958C4451-9541-5A59-BF78-D2F731DF1C81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19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20</v>
      </c>
      <c r="D3" s="10">
        <v>0.43</v>
      </c>
      <c r="E3" s="14">
        <v>0.3</v>
      </c>
      <c r="F3" s="10">
        <v>171.5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21</v>
      </c>
      <c r="C4" s="5">
        <v>50</v>
      </c>
      <c r="D4" s="10">
        <v>1</v>
      </c>
      <c r="E4" s="14">
        <v>0.5</v>
      </c>
      <c r="F4" s="10">
        <v>400</v>
      </c>
      <c r="G4" s="7"/>
      <c r="I4" s="27" t="s">
        <v>11</v>
      </c>
      <c r="J4" s="28">
        <f>SUMPRODUCT(($A$3:$A$99="&gt;")*($F$3:$F$99))*$J$1+SUMPRODUCT(($A$3:$A$99="&gt;")*($G$3:$G$99))+J$8</f>
        <v>282939.99999999977</v>
      </c>
      <c r="K4" s="18">
        <f>SUMPRODUCT(($A$3:$A$99="&gt;")*($F$3:$F$99))*$J$1+SUMPRODUCT(($A$3:$A$99="&gt;")*($G$3:$G$99))+K$8</f>
        <v>282939.99999999977</v>
      </c>
    </row>
    <row r="5" spans="1:11" ht="20.100000000000001" customHeight="1">
      <c r="A5" s="3" t="str">
        <f>IF(AND($J$1&gt;=$B5,$J$1&lt;=$C5),"&gt;","")</f>
        <v/>
      </c>
      <c r="B5" s="5">
        <v>51</v>
      </c>
      <c r="C5" s="5">
        <v>105</v>
      </c>
      <c r="D5" s="10">
        <v>1.4</v>
      </c>
      <c r="E5" s="14">
        <v>0.7</v>
      </c>
      <c r="F5" s="10">
        <v>777</v>
      </c>
      <c r="G5" s="7">
        <v>-10850</v>
      </c>
      <c r="I5" s="27" t="s">
        <v>5</v>
      </c>
      <c r="J5" s="29">
        <f>SUMPRODUCT(($A$3:$A$99="&gt;")*($D$3:$D$99))</f>
        <v>1.4</v>
      </c>
      <c r="K5" s="19">
        <f>$J5</f>
        <v>1.4</v>
      </c>
    </row>
    <row r="6" spans="1:11" ht="20.100000000000001" customHeight="1">
      <c r="A6" s="3" t="str">
        <f>IF(AND($J$1&gt;=$B6,$J$1&lt;=$C6),"&gt;","")</f>
        <v>&gt;</v>
      </c>
      <c r="B6" s="5">
        <v>106</v>
      </c>
      <c r="C6" s="5">
        <v>115</v>
      </c>
      <c r="D6" s="10">
        <v>1.4</v>
      </c>
      <c r="E6" s="14">
        <v>0.7</v>
      </c>
      <c r="F6" s="10">
        <f>353675/18</f>
        <v>19648.611111111109</v>
      </c>
      <c r="G6" s="7">
        <f>-35579705/18</f>
        <v>-1976650.2777777778</v>
      </c>
      <c r="I6" s="27" t="s">
        <v>6</v>
      </c>
      <c r="J6" s="30">
        <f>SUMPRODUCT(($A$3:$A$99="&gt;")*($E$3:$E$99))</f>
        <v>0.7</v>
      </c>
      <c r="K6" s="20">
        <f>$J6</f>
        <v>0.7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6000</v>
      </c>
      <c r="J12" s="24">
        <f t="shared" ref="J12:K43" si="1">IFERROR(IF((J$5+1)/(J$5+($J$4/($I12-J$8)))*J$6&lt;=IF(J$7&lt;&gt;"N",J$6,999),IF((J$5+1)/(J$5+($J$4/($I12-J$8)))*J$6&gt;=0,(J$5+1)/(J$5+($J$4/($I12-J$8)))*J$6,0),J$6),0)</f>
        <v>3.459875060067278E-2</v>
      </c>
      <c r="K12" s="22">
        <f t="shared" si="1"/>
        <v>3.459875060067278E-2</v>
      </c>
    </row>
    <row r="13" spans="1:11" ht="20.100000000000001" customHeight="1">
      <c r="I13" s="8">
        <f t="shared" si="0"/>
        <v>12000</v>
      </c>
      <c r="J13" s="24">
        <f t="shared" si="1"/>
        <v>6.7258290518449365E-2</v>
      </c>
      <c r="K13" s="22">
        <f t="shared" si="1"/>
        <v>6.7258290518449365E-2</v>
      </c>
    </row>
    <row r="14" spans="1:11" ht="20.100000000000001" customHeight="1">
      <c r="I14" s="8">
        <f t="shared" si="0"/>
        <v>18000</v>
      </c>
      <c r="J14" s="24">
        <f t="shared" si="1"/>
        <v>9.8137210358927821E-2</v>
      </c>
      <c r="K14" s="22">
        <f t="shared" si="1"/>
        <v>9.8137210358927821E-2</v>
      </c>
    </row>
    <row r="15" spans="1:11" ht="20.100000000000001" customHeight="1">
      <c r="I15" s="8">
        <f t="shared" si="0"/>
        <v>24000</v>
      </c>
      <c r="J15" s="24">
        <f t="shared" si="1"/>
        <v>0.12737726669615221</v>
      </c>
      <c r="K15" s="22">
        <f t="shared" si="1"/>
        <v>0.12737726669615221</v>
      </c>
    </row>
    <row r="16" spans="1:11" ht="20.100000000000001" customHeight="1">
      <c r="I16" s="8">
        <f t="shared" si="0"/>
        <v>30000</v>
      </c>
      <c r="J16" s="24">
        <f t="shared" si="1"/>
        <v>0.15510555794915992</v>
      </c>
      <c r="K16" s="22">
        <f t="shared" si="1"/>
        <v>0.15510555794915992</v>
      </c>
    </row>
    <row r="17" spans="2:11" ht="20.100000000000001" customHeight="1">
      <c r="I17" s="8">
        <f t="shared" si="0"/>
        <v>36000</v>
      </c>
      <c r="J17" s="24">
        <f t="shared" si="1"/>
        <v>0.18143637127257467</v>
      </c>
      <c r="K17" s="22">
        <f t="shared" si="1"/>
        <v>0.18143637127257467</v>
      </c>
    </row>
    <row r="18" spans="2:11" ht="20.100000000000001" customHeight="1">
      <c r="I18" s="8">
        <f t="shared" si="0"/>
        <v>42000</v>
      </c>
      <c r="J18" s="24">
        <f t="shared" si="1"/>
        <v>0.20647275706677604</v>
      </c>
      <c r="K18" s="22">
        <f t="shared" si="1"/>
        <v>0.20647275706677604</v>
      </c>
    </row>
    <row r="19" spans="2:11" ht="20.100000000000001" customHeight="1">
      <c r="I19" s="8">
        <f t="shared" si="0"/>
        <v>48000</v>
      </c>
      <c r="J19" s="24">
        <f t="shared" si="1"/>
        <v>0.23030787684926043</v>
      </c>
      <c r="K19" s="22">
        <f t="shared" si="1"/>
        <v>0.23030787684926043</v>
      </c>
    </row>
    <row r="20" spans="2:11" ht="20.100000000000001" customHeight="1">
      <c r="B20" s="11"/>
      <c r="I20" s="8">
        <f t="shared" si="0"/>
        <v>54000</v>
      </c>
      <c r="J20" s="24">
        <f t="shared" si="1"/>
        <v>0.25302616165560338</v>
      </c>
      <c r="K20" s="22">
        <f t="shared" si="1"/>
        <v>0.25302616165560338</v>
      </c>
    </row>
    <row r="21" spans="2:11" ht="20.100000000000001" customHeight="1">
      <c r="B21" s="42" t="s">
        <v>18</v>
      </c>
      <c r="C21" s="43"/>
      <c r="D21" s="16">
        <f>ROUNDUP($J$4*1.05,-LEN(TEXT($J$4*1.05,"0"))+2)</f>
        <v>300000</v>
      </c>
      <c r="I21" s="8">
        <f t="shared" si="0"/>
        <v>60000</v>
      </c>
      <c r="J21" s="24">
        <f t="shared" si="1"/>
        <v>0.27470431133155299</v>
      </c>
      <c r="K21" s="22">
        <f t="shared" si="1"/>
        <v>0.27470431133155299</v>
      </c>
    </row>
    <row r="22" spans="2:11" ht="20.100000000000001" customHeight="1">
      <c r="I22" s="8">
        <f t="shared" si="0"/>
        <v>66000</v>
      </c>
      <c r="J22" s="24">
        <f t="shared" si="1"/>
        <v>0.2954121596419248</v>
      </c>
      <c r="K22" s="22">
        <f t="shared" si="1"/>
        <v>0.2954121596419248</v>
      </c>
    </row>
    <row r="23" spans="2:11" ht="20.100000000000001" customHeight="1">
      <c r="I23" s="8">
        <f t="shared" si="0"/>
        <v>72000</v>
      </c>
      <c r="J23" s="24">
        <f t="shared" si="1"/>
        <v>0.31521342575702316</v>
      </c>
      <c r="K23" s="22">
        <f t="shared" si="1"/>
        <v>0.31521342575702316</v>
      </c>
    </row>
    <row r="24" spans="2:11" ht="20.100000000000001" customHeight="1">
      <c r="I24" s="8">
        <f t="shared" si="0"/>
        <v>78000</v>
      </c>
      <c r="J24" s="24">
        <f t="shared" si="1"/>
        <v>0.33416636915387382</v>
      </c>
      <c r="K24" s="22">
        <f t="shared" si="1"/>
        <v>0.33416636915387382</v>
      </c>
    </row>
    <row r="25" spans="2:11" ht="20.100000000000001" customHeight="1">
      <c r="I25" s="8">
        <f t="shared" si="0"/>
        <v>84000</v>
      </c>
      <c r="J25" s="24">
        <f t="shared" si="1"/>
        <v>0.35232436211115015</v>
      </c>
      <c r="K25" s="22">
        <f t="shared" si="1"/>
        <v>0.35232436211115015</v>
      </c>
    </row>
    <row r="26" spans="2:11" ht="20.100000000000001" customHeight="1">
      <c r="I26" s="8">
        <f t="shared" si="0"/>
        <v>90000</v>
      </c>
      <c r="J26" s="24">
        <f t="shared" si="1"/>
        <v>0.36973639164669653</v>
      </c>
      <c r="K26" s="22">
        <f t="shared" si="1"/>
        <v>0.36973639164669653</v>
      </c>
    </row>
    <row r="27" spans="2:11" ht="20.100000000000001" customHeight="1">
      <c r="B27"/>
      <c r="I27" s="8">
        <f t="shared" si="0"/>
        <v>96000</v>
      </c>
      <c r="J27" s="24">
        <f t="shared" si="1"/>
        <v>0.38644750083864488</v>
      </c>
      <c r="K27" s="22">
        <f t="shared" si="1"/>
        <v>0.38644750083864488</v>
      </c>
    </row>
    <row r="28" spans="2:11" ht="20.100000000000001" customHeight="1">
      <c r="I28" s="8">
        <f t="shared" si="0"/>
        <v>102000</v>
      </c>
      <c r="J28" s="24">
        <f t="shared" si="1"/>
        <v>0.40249917790200607</v>
      </c>
      <c r="K28" s="22">
        <f t="shared" si="1"/>
        <v>0.40249917790200607</v>
      </c>
    </row>
    <row r="29" spans="2:11" ht="20.100000000000001" customHeight="1">
      <c r="I29" s="8">
        <f t="shared" si="0"/>
        <v>108000</v>
      </c>
      <c r="J29" s="24">
        <f t="shared" si="1"/>
        <v>0.41792970009674313</v>
      </c>
      <c r="K29" s="22">
        <f t="shared" si="1"/>
        <v>0.41792970009674313</v>
      </c>
    </row>
    <row r="30" spans="2:11" ht="20.100000000000001" customHeight="1">
      <c r="I30" s="8">
        <f t="shared" si="0"/>
        <v>114000</v>
      </c>
      <c r="J30" s="24">
        <f t="shared" si="1"/>
        <v>0.43277443846883917</v>
      </c>
      <c r="K30" s="22">
        <f t="shared" si="1"/>
        <v>0.43277443846883917</v>
      </c>
    </row>
    <row r="31" spans="2:11" ht="20.100000000000001" customHeight="1">
      <c r="I31" s="8">
        <f t="shared" si="0"/>
        <v>120000</v>
      </c>
      <c r="J31" s="24">
        <f t="shared" si="1"/>
        <v>0.44706612853151212</v>
      </c>
      <c r="K31" s="22">
        <f t="shared" si="1"/>
        <v>0.44706612853151212</v>
      </c>
    </row>
    <row r="32" spans="2:11" ht="20.100000000000001" customHeight="1">
      <c r="I32" s="8">
        <f t="shared" si="0"/>
        <v>126000</v>
      </c>
      <c r="J32" s="24">
        <f t="shared" si="1"/>
        <v>0.46083511124657134</v>
      </c>
      <c r="K32" s="22">
        <f t="shared" si="1"/>
        <v>0.46083511124657134</v>
      </c>
    </row>
    <row r="33" spans="9:11" ht="20.100000000000001" customHeight="1">
      <c r="I33" s="8">
        <f t="shared" si="0"/>
        <v>132000</v>
      </c>
      <c r="J33" s="24">
        <f t="shared" si="1"/>
        <v>0.47410954803950933</v>
      </c>
      <c r="K33" s="22">
        <f t="shared" si="1"/>
        <v>0.47410954803950933</v>
      </c>
    </row>
    <row r="34" spans="9:11" ht="20.100000000000001" customHeight="1">
      <c r="I34" s="8">
        <f t="shared" si="0"/>
        <v>138000</v>
      </c>
      <c r="J34" s="24">
        <f t="shared" si="1"/>
        <v>0.48691561305498399</v>
      </c>
      <c r="K34" s="22">
        <f t="shared" si="1"/>
        <v>0.48691561305498399</v>
      </c>
    </row>
    <row r="35" spans="9:11" ht="20.100000000000001" customHeight="1">
      <c r="I35" s="8">
        <f t="shared" si="0"/>
        <v>144000</v>
      </c>
      <c r="J35" s="24">
        <f t="shared" si="1"/>
        <v>0.49927766541462026</v>
      </c>
      <c r="K35" s="22">
        <f t="shared" si="1"/>
        <v>0.49927766541462026</v>
      </c>
    </row>
    <row r="36" spans="9:11" ht="20.100000000000001" customHeight="1">
      <c r="I36" s="8">
        <f t="shared" si="0"/>
        <v>150000</v>
      </c>
      <c r="J36" s="24">
        <f t="shared" si="1"/>
        <v>0.51121840386253925</v>
      </c>
      <c r="K36" s="22">
        <f t="shared" si="1"/>
        <v>0.51121840386253925</v>
      </c>
    </row>
    <row r="37" spans="9:11" ht="20.100000000000001" customHeight="1">
      <c r="I37" s="8">
        <f t="shared" si="0"/>
        <v>156000</v>
      </c>
      <c r="J37" s="24">
        <f t="shared" si="1"/>
        <v>0.52275900586428392</v>
      </c>
      <c r="K37" s="22">
        <f t="shared" si="1"/>
        <v>0.52275900586428392</v>
      </c>
    </row>
    <row r="38" spans="9:11" ht="20.100000000000001" customHeight="1">
      <c r="I38" s="8">
        <f t="shared" si="0"/>
        <v>162000</v>
      </c>
      <c r="J38" s="24">
        <f t="shared" si="1"/>
        <v>0.53391925295248577</v>
      </c>
      <c r="K38" s="22">
        <f t="shared" si="1"/>
        <v>0.53391925295248577</v>
      </c>
    </row>
    <row r="39" spans="9:11" ht="20.100000000000001" customHeight="1">
      <c r="I39" s="8">
        <f t="shared" si="0"/>
        <v>168000</v>
      </c>
      <c r="J39" s="24">
        <f t="shared" si="1"/>
        <v>0.54471764388003263</v>
      </c>
      <c r="K39" s="22">
        <f t="shared" si="1"/>
        <v>0.54471764388003263</v>
      </c>
    </row>
    <row r="40" spans="9:11" ht="20.100000000000001" customHeight="1">
      <c r="I40" s="8">
        <f t="shared" si="0"/>
        <v>174000</v>
      </c>
      <c r="J40" s="24">
        <f t="shared" si="1"/>
        <v>0.55517149694230272</v>
      </c>
      <c r="K40" s="22">
        <f t="shared" si="1"/>
        <v>0.55517149694230272</v>
      </c>
    </row>
    <row r="41" spans="9:11" ht="20.100000000000001" customHeight="1">
      <c r="I41" s="8">
        <f t="shared" si="0"/>
        <v>180000</v>
      </c>
      <c r="J41" s="24">
        <f t="shared" si="1"/>
        <v>0.56529704265898995</v>
      </c>
      <c r="K41" s="22">
        <f t="shared" si="1"/>
        <v>0.56529704265898995</v>
      </c>
    </row>
    <row r="42" spans="9:11" ht="20.100000000000001" customHeight="1">
      <c r="I42" s="8">
        <f t="shared" si="0"/>
        <v>186000</v>
      </c>
      <c r="J42" s="24">
        <f t="shared" si="1"/>
        <v>0.57510950785879944</v>
      </c>
      <c r="K42" s="22">
        <f t="shared" si="1"/>
        <v>0.57510950785879944</v>
      </c>
    </row>
    <row r="43" spans="9:11" ht="20.100000000000001" customHeight="1">
      <c r="I43" s="8">
        <f t="shared" si="0"/>
        <v>192000</v>
      </c>
      <c r="J43" s="24">
        <f t="shared" si="1"/>
        <v>0.58462319208322777</v>
      </c>
      <c r="K43" s="22">
        <f t="shared" si="1"/>
        <v>0.58462319208322777</v>
      </c>
    </row>
    <row r="44" spans="9:11" ht="20.100000000000001" customHeight="1">
      <c r="I44" s="8">
        <f t="shared" si="0"/>
        <v>198000</v>
      </c>
      <c r="J44" s="24">
        <f t="shared" ref="J44:K61" si="2">IFERROR(IF((J$5+1)/(J$5+($J$4/($I44-J$8)))*J$6&lt;=IF(J$7&lt;&gt;"N",J$6,999),IF((J$5+1)/(J$5+($J$4/($I44-J$8)))*J$6&gt;=0,(J$5+1)/(J$5+($J$4/($I44-J$8)))*J$6,0),J$6),0)</f>
        <v>0.59385153711572125</v>
      </c>
      <c r="K44" s="22">
        <f t="shared" si="2"/>
        <v>0.59385153711572125</v>
      </c>
    </row>
    <row r="45" spans="9:11" ht="20.100000000000001" customHeight="1">
      <c r="I45" s="8">
        <f t="shared" si="0"/>
        <v>204000</v>
      </c>
      <c r="J45" s="24">
        <f t="shared" si="2"/>
        <v>0.60280719034720531</v>
      </c>
      <c r="K45" s="22">
        <f t="shared" si="2"/>
        <v>0.60280719034720531</v>
      </c>
    </row>
    <row r="46" spans="9:11" ht="20.100000000000001" customHeight="1">
      <c r="I46" s="8">
        <f t="shared" si="0"/>
        <v>210000</v>
      </c>
      <c r="J46" s="24">
        <f t="shared" si="2"/>
        <v>0.6115020626061638</v>
      </c>
      <c r="K46" s="22">
        <f t="shared" si="2"/>
        <v>0.6115020626061638</v>
      </c>
    </row>
    <row r="47" spans="9:11" ht="20.100000000000001" customHeight="1">
      <c r="I47" s="8">
        <f t="shared" si="0"/>
        <v>216000</v>
      </c>
      <c r="J47" s="24">
        <f t="shared" si="2"/>
        <v>0.61994738100932811</v>
      </c>
      <c r="K47" s="22">
        <f t="shared" si="2"/>
        <v>0.61994738100932811</v>
      </c>
    </row>
    <row r="48" spans="9:11" ht="20.100000000000001" customHeight="1">
      <c r="I48" s="8">
        <f t="shared" si="0"/>
        <v>222000</v>
      </c>
      <c r="J48" s="24">
        <f t="shared" si="2"/>
        <v>0.62815373732610258</v>
      </c>
      <c r="K48" s="22">
        <f t="shared" si="2"/>
        <v>0.62815373732610258</v>
      </c>
    </row>
    <row r="49" spans="9:11" ht="20.100000000000001" customHeight="1">
      <c r="I49" s="8">
        <f t="shared" si="0"/>
        <v>228000</v>
      </c>
      <c r="J49" s="24">
        <f t="shared" si="2"/>
        <v>0.63613113229481533</v>
      </c>
      <c r="K49" s="22">
        <f t="shared" si="2"/>
        <v>0.63613113229481533</v>
      </c>
    </row>
    <row r="50" spans="9:11" ht="20.100000000000001" customHeight="1">
      <c r="I50" s="8">
        <f t="shared" si="0"/>
        <v>234000</v>
      </c>
      <c r="J50" s="24">
        <f t="shared" si="2"/>
        <v>0.64388901628066975</v>
      </c>
      <c r="K50" s="22">
        <f t="shared" si="2"/>
        <v>0.64388901628066975</v>
      </c>
    </row>
    <row r="51" spans="9:11" ht="20.100000000000001" customHeight="1">
      <c r="I51" s="8">
        <f t="shared" si="0"/>
        <v>240000</v>
      </c>
      <c r="J51" s="24">
        <f t="shared" si="2"/>
        <v>0.65143632662293627</v>
      </c>
      <c r="K51" s="22">
        <f t="shared" si="2"/>
        <v>0.65143632662293627</v>
      </c>
    </row>
    <row r="52" spans="9:11" ht="20.100000000000001" customHeight="1">
      <c r="I52" s="8">
        <f t="shared" si="0"/>
        <v>246000</v>
      </c>
      <c r="J52" s="24">
        <f t="shared" si="2"/>
        <v>0.65878152198170081</v>
      </c>
      <c r="K52" s="22">
        <f t="shared" si="2"/>
        <v>0.65878152198170081</v>
      </c>
    </row>
    <row r="53" spans="9:11" ht="20.100000000000001" customHeight="1">
      <c r="I53" s="8">
        <f t="shared" si="0"/>
        <v>252000</v>
      </c>
      <c r="J53" s="24">
        <f t="shared" si="2"/>
        <v>0.66593261396168257</v>
      </c>
      <c r="K53" s="22">
        <f t="shared" si="2"/>
        <v>0.66593261396168257</v>
      </c>
    </row>
    <row r="54" spans="9:11" ht="20.100000000000001" customHeight="1">
      <c r="I54" s="8">
        <f t="shared" si="0"/>
        <v>258000</v>
      </c>
      <c r="J54" s="24">
        <f t="shared" si="2"/>
        <v>0.67289719626168243</v>
      </c>
      <c r="K54" s="22">
        <f t="shared" si="2"/>
        <v>0.67289719626168243</v>
      </c>
    </row>
    <row r="55" spans="9:11" ht="20.100000000000001" customHeight="1">
      <c r="I55" s="8">
        <f t="shared" si="0"/>
        <v>264000</v>
      </c>
      <c r="J55" s="24">
        <f t="shared" si="2"/>
        <v>0.67968247157262418</v>
      </c>
      <c r="K55" s="22">
        <f t="shared" si="2"/>
        <v>0.67968247157262418</v>
      </c>
    </row>
    <row r="56" spans="9:11" ht="20.100000000000001" customHeight="1">
      <c r="I56" s="8">
        <f t="shared" si="0"/>
        <v>270000</v>
      </c>
      <c r="J56" s="24">
        <f t="shared" si="2"/>
        <v>0.68629527642448651</v>
      </c>
      <c r="K56" s="22">
        <f t="shared" si="2"/>
        <v>0.68629527642448651</v>
      </c>
    </row>
    <row r="57" spans="9:11" ht="20.100000000000001" customHeight="1">
      <c r="I57" s="8">
        <f t="shared" si="0"/>
        <v>276000</v>
      </c>
      <c r="J57" s="24">
        <f t="shared" si="2"/>
        <v>0.69274210416230941</v>
      </c>
      <c r="K57" s="22">
        <f t="shared" si="2"/>
        <v>0.69274210416230941</v>
      </c>
    </row>
    <row r="58" spans="9:11" ht="20.100000000000001" customHeight="1">
      <c r="I58" s="8">
        <f t="shared" si="0"/>
        <v>282000</v>
      </c>
      <c r="J58" s="24">
        <f t="shared" si="2"/>
        <v>0.69902912621359248</v>
      </c>
      <c r="K58" s="22">
        <f t="shared" si="2"/>
        <v>0.69902912621359248</v>
      </c>
    </row>
    <row r="59" spans="9:11" ht="20.100000000000001" customHeight="1">
      <c r="I59" s="8">
        <f t="shared" si="0"/>
        <v>288000</v>
      </c>
      <c r="J59" s="24">
        <f t="shared" si="2"/>
        <v>0.7</v>
      </c>
      <c r="K59" s="22">
        <f t="shared" si="2"/>
        <v>0.7</v>
      </c>
    </row>
    <row r="60" spans="9:11" ht="20.100000000000001" customHeight="1">
      <c r="I60" s="8">
        <f>$I$11+($I$61-$I$11)/(ROW($I$61)-ROW($I$11))*(ROW($I60)-ROW($I$11))</f>
        <v>294000</v>
      </c>
      <c r="J60" s="24">
        <f t="shared" si="2"/>
        <v>0.7</v>
      </c>
      <c r="K60" s="22">
        <f t="shared" si="2"/>
        <v>0.7</v>
      </c>
    </row>
    <row r="61" spans="9:11" ht="20.100000000000001" customHeight="1">
      <c r="I61" s="9">
        <f>$D$21</f>
        <v>300000</v>
      </c>
      <c r="J61" s="24">
        <f t="shared" si="2"/>
        <v>0.7</v>
      </c>
      <c r="K61" s="22">
        <f t="shared" si="2"/>
        <v>0.7</v>
      </c>
    </row>
    <row r="62" spans="9:11" ht="20.100000000000001" customHeight="1">
      <c r="I62" s="1"/>
    </row>
  </sheetData>
  <mergeCells count="2">
    <mergeCell ref="B1:G1"/>
    <mergeCell ref="B21:C21"/>
  </mergeCells>
  <conditionalFormatting sqref="B3:G6">
    <cfRule type="expression" dxfId="13" priority="2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workbookViewId="0" xr3:uid="{842E5F09-E766-5B8D-85AF-A39847EA96FD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21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50</v>
      </c>
      <c r="D3" s="10">
        <v>0.66</v>
      </c>
      <c r="E3" s="14">
        <v>0.15</v>
      </c>
      <c r="F3" s="10">
        <v>71.5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51</v>
      </c>
      <c r="C4" s="5">
        <v>84</v>
      </c>
      <c r="D4" s="10">
        <v>1</v>
      </c>
      <c r="E4" s="14">
        <v>0.2</v>
      </c>
      <c r="F4" s="10">
        <v>250</v>
      </c>
      <c r="G4" s="7">
        <v>-6900</v>
      </c>
      <c r="I4" s="27" t="s">
        <v>11</v>
      </c>
      <c r="J4" s="28">
        <f>SUMPRODUCT(($A$3:$A$99="&gt;")*($F$3:$F$99))*$J$1+SUMPRODUCT(($A$3:$A$99="&gt;")*($G$3:$G$99))+J$8</f>
        <v>71000</v>
      </c>
      <c r="K4" s="18">
        <f>SUMPRODUCT(($A$3:$A$99="&gt;")*($F$3:$F$99))*$J$1+SUMPRODUCT(($A$3:$A$99="&gt;")*($G$3:$G$99))+K$8</f>
        <v>71000</v>
      </c>
    </row>
    <row r="5" spans="1:11" ht="20.100000000000001" customHeight="1">
      <c r="A5" s="3" t="str">
        <f>IF(AND($J$1&gt;=$B5,$J$1&lt;=$C5),"&gt;","")</f>
        <v/>
      </c>
      <c r="B5" s="5">
        <v>85</v>
      </c>
      <c r="C5" s="5">
        <v>104</v>
      </c>
      <c r="D5" s="10">
        <v>1</v>
      </c>
      <c r="E5" s="14">
        <v>0.25</v>
      </c>
      <c r="F5" s="10">
        <v>165</v>
      </c>
      <c r="G5" s="7">
        <v>375</v>
      </c>
      <c r="I5" s="27" t="s">
        <v>5</v>
      </c>
      <c r="J5" s="29">
        <f>SUMPRODUCT(($A$3:$A$99="&gt;")*($D$3:$D$99))</f>
        <v>1</v>
      </c>
      <c r="K5" s="19">
        <f>$J5</f>
        <v>1</v>
      </c>
    </row>
    <row r="6" spans="1:11" ht="20.100000000000001" customHeight="1">
      <c r="A6" s="3" t="str">
        <f>IF(AND($J$1&gt;=$B6,$J$1&lt;=$C6),"&gt;","")</f>
        <v/>
      </c>
      <c r="B6" s="5">
        <v>105</v>
      </c>
      <c r="C6" s="5">
        <v>105</v>
      </c>
      <c r="D6" s="10">
        <v>1</v>
      </c>
      <c r="E6" s="14">
        <v>0.25</v>
      </c>
      <c r="F6" s="10">
        <f>3550/21</f>
        <v>169.04761904761904</v>
      </c>
      <c r="G6" s="7"/>
      <c r="I6" s="27" t="s">
        <v>6</v>
      </c>
      <c r="J6" s="30">
        <f>SUMPRODUCT(($A$3:$A$99="&gt;")*($E$3:$E$99))</f>
        <v>0.25</v>
      </c>
      <c r="K6" s="20">
        <f>$J6</f>
        <v>0.25</v>
      </c>
    </row>
    <row r="7" spans="1:11" ht="20.100000000000001" customHeight="1">
      <c r="A7" s="3" t="str">
        <f>IF(AND($J$1&gt;=$B7,$J$1&lt;=$C7),"&gt;","")</f>
        <v>&gt;</v>
      </c>
      <c r="B7" s="5">
        <v>106</v>
      </c>
      <c r="C7" s="5">
        <v>115</v>
      </c>
      <c r="D7" s="10">
        <v>1</v>
      </c>
      <c r="E7" s="14">
        <v>0.25</v>
      </c>
      <c r="F7" s="10">
        <f>44375/9</f>
        <v>4930.5555555555557</v>
      </c>
      <c r="G7" s="7">
        <f>-4464125/9</f>
        <v>-496013.88888888888</v>
      </c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49" si="0">$I$11+($I$61-$I$11)/(ROW($I$61)-ROW($I$11))*(ROW($I12)-ROW($I$11))</f>
        <v>1500</v>
      </c>
      <c r="J12" s="24">
        <f t="shared" ref="J12:K43" si="1">IFERROR(IF((J$5+1)/(J$5+($J$4/($I12-J$8)))*J$6&lt;=IF(J$7&lt;&gt;"N",J$6,999),IF((J$5+1)/(J$5+($J$4/($I12-J$8)))*J$6&gt;=0,(J$5+1)/(J$5+($J$4/($I12-J$8)))*J$6,0),J$6),0)</f>
        <v>1.0344827586206896E-2</v>
      </c>
      <c r="K12" s="22">
        <f t="shared" si="1"/>
        <v>1.0344827586206896E-2</v>
      </c>
    </row>
    <row r="13" spans="1:11" ht="20.100000000000001" customHeight="1">
      <c r="I13" s="8">
        <f t="shared" si="0"/>
        <v>3000</v>
      </c>
      <c r="J13" s="24">
        <f t="shared" si="1"/>
        <v>2.0270270270270268E-2</v>
      </c>
      <c r="K13" s="22">
        <f t="shared" si="1"/>
        <v>2.0270270270270268E-2</v>
      </c>
    </row>
    <row r="14" spans="1:11" ht="20.100000000000001" customHeight="1">
      <c r="I14" s="8">
        <f t="shared" si="0"/>
        <v>4500</v>
      </c>
      <c r="J14" s="24">
        <f t="shared" si="1"/>
        <v>2.9801324503311258E-2</v>
      </c>
      <c r="K14" s="22">
        <f t="shared" si="1"/>
        <v>2.9801324503311258E-2</v>
      </c>
    </row>
    <row r="15" spans="1:11" ht="20.100000000000001" customHeight="1">
      <c r="I15" s="8">
        <f t="shared" si="0"/>
        <v>6000</v>
      </c>
      <c r="J15" s="24">
        <f t="shared" si="1"/>
        <v>3.896103896103896E-2</v>
      </c>
      <c r="K15" s="22">
        <f t="shared" si="1"/>
        <v>3.896103896103896E-2</v>
      </c>
    </row>
    <row r="16" spans="1:11" ht="20.100000000000001" customHeight="1">
      <c r="I16" s="8">
        <f t="shared" si="0"/>
        <v>7500</v>
      </c>
      <c r="J16" s="24">
        <f t="shared" si="1"/>
        <v>4.7770700636942671E-2</v>
      </c>
      <c r="K16" s="22">
        <f t="shared" si="1"/>
        <v>4.7770700636942671E-2</v>
      </c>
    </row>
    <row r="17" spans="2:11" ht="20.100000000000001" customHeight="1">
      <c r="I17" s="8">
        <f t="shared" si="0"/>
        <v>9000</v>
      </c>
      <c r="J17" s="24">
        <f t="shared" si="1"/>
        <v>5.6249999999999994E-2</v>
      </c>
      <c r="K17" s="22">
        <f t="shared" si="1"/>
        <v>5.6249999999999994E-2</v>
      </c>
    </row>
    <row r="18" spans="2:11" ht="20.100000000000001" customHeight="1">
      <c r="I18" s="8">
        <f t="shared" si="0"/>
        <v>10500</v>
      </c>
      <c r="J18" s="24">
        <f t="shared" si="1"/>
        <v>6.4417177914110432E-2</v>
      </c>
      <c r="K18" s="22">
        <f t="shared" si="1"/>
        <v>6.4417177914110432E-2</v>
      </c>
    </row>
    <row r="19" spans="2:11" ht="20.100000000000001" customHeight="1">
      <c r="I19" s="8">
        <f t="shared" si="0"/>
        <v>12000</v>
      </c>
      <c r="J19" s="24">
        <f t="shared" si="1"/>
        <v>7.2289156626506021E-2</v>
      </c>
      <c r="K19" s="22">
        <f t="shared" si="1"/>
        <v>7.2289156626506021E-2</v>
      </c>
    </row>
    <row r="20" spans="2:11" ht="20.100000000000001" customHeight="1">
      <c r="I20" s="8">
        <f t="shared" si="0"/>
        <v>13500</v>
      </c>
      <c r="J20" s="24">
        <f t="shared" si="1"/>
        <v>7.9881656804733719E-2</v>
      </c>
      <c r="K20" s="22">
        <f t="shared" si="1"/>
        <v>7.9881656804733719E-2</v>
      </c>
    </row>
    <row r="21" spans="2:11" ht="20.100000000000001" customHeight="1">
      <c r="B21" s="11"/>
      <c r="I21" s="8">
        <f t="shared" si="0"/>
        <v>15000</v>
      </c>
      <c r="J21" s="24">
        <f t="shared" si="1"/>
        <v>8.7209302325581398E-2</v>
      </c>
      <c r="K21" s="22">
        <f t="shared" si="1"/>
        <v>8.7209302325581398E-2</v>
      </c>
    </row>
    <row r="22" spans="2:11" ht="20.100000000000001" customHeight="1">
      <c r="B22" s="42" t="s">
        <v>18</v>
      </c>
      <c r="C22" s="43"/>
      <c r="D22" s="16">
        <f>ROUNDUP($J$4*1.05,-LEN(TEXT($J$4*1.05,"0"))+2)</f>
        <v>75000</v>
      </c>
      <c r="I22" s="8">
        <f t="shared" si="0"/>
        <v>16500</v>
      </c>
      <c r="J22" s="24">
        <f t="shared" si="1"/>
        <v>9.4285714285714292E-2</v>
      </c>
      <c r="K22" s="22">
        <f t="shared" si="1"/>
        <v>9.4285714285714292E-2</v>
      </c>
    </row>
    <row r="23" spans="2:11" ht="20.100000000000001" customHeight="1">
      <c r="I23" s="8">
        <f t="shared" si="0"/>
        <v>18000</v>
      </c>
      <c r="J23" s="24">
        <f t="shared" si="1"/>
        <v>0.10112359550561797</v>
      </c>
      <c r="K23" s="22">
        <f t="shared" si="1"/>
        <v>0.10112359550561797</v>
      </c>
    </row>
    <row r="24" spans="2:11" ht="20.100000000000001" customHeight="1">
      <c r="I24" s="8">
        <f t="shared" si="0"/>
        <v>19500</v>
      </c>
      <c r="J24" s="24">
        <f t="shared" si="1"/>
        <v>0.10773480662983427</v>
      </c>
      <c r="K24" s="22">
        <f t="shared" si="1"/>
        <v>0.10773480662983427</v>
      </c>
    </row>
    <row r="25" spans="2:11" ht="20.100000000000001" customHeight="1">
      <c r="I25" s="8">
        <f t="shared" si="0"/>
        <v>21000</v>
      </c>
      <c r="J25" s="24">
        <f t="shared" si="1"/>
        <v>0.11413043478260869</v>
      </c>
      <c r="K25" s="22">
        <f t="shared" si="1"/>
        <v>0.11413043478260869</v>
      </c>
    </row>
    <row r="26" spans="2:11" ht="20.100000000000001" customHeight="1">
      <c r="I26" s="8">
        <f t="shared" si="0"/>
        <v>22500</v>
      </c>
      <c r="J26" s="24">
        <f t="shared" si="1"/>
        <v>0.12032085561497328</v>
      </c>
      <c r="K26" s="22">
        <f t="shared" si="1"/>
        <v>0.12032085561497328</v>
      </c>
    </row>
    <row r="27" spans="2:11" ht="20.100000000000001" customHeight="1">
      <c r="I27" s="8">
        <f t="shared" si="0"/>
        <v>24000</v>
      </c>
      <c r="J27" s="24">
        <f t="shared" si="1"/>
        <v>0.12631578947368421</v>
      </c>
      <c r="K27" s="22">
        <f t="shared" si="1"/>
        <v>0.12631578947368421</v>
      </c>
    </row>
    <row r="28" spans="2:11" ht="20.100000000000001" customHeight="1">
      <c r="B28"/>
      <c r="I28" s="8">
        <f t="shared" si="0"/>
        <v>25500</v>
      </c>
      <c r="J28" s="24">
        <f t="shared" si="1"/>
        <v>0.13212435233160622</v>
      </c>
      <c r="K28" s="22">
        <f t="shared" si="1"/>
        <v>0.13212435233160622</v>
      </c>
    </row>
    <row r="29" spans="2:11" ht="20.100000000000001" customHeight="1">
      <c r="I29" s="8">
        <f t="shared" si="0"/>
        <v>27000</v>
      </c>
      <c r="J29" s="24">
        <f t="shared" si="1"/>
        <v>0.13775510204081631</v>
      </c>
      <c r="K29" s="22">
        <f t="shared" si="1"/>
        <v>0.13775510204081631</v>
      </c>
    </row>
    <row r="30" spans="2:11" ht="20.100000000000001" customHeight="1">
      <c r="I30" s="8">
        <f t="shared" si="0"/>
        <v>28500</v>
      </c>
      <c r="J30" s="24">
        <f t="shared" si="1"/>
        <v>0.14321608040201003</v>
      </c>
      <c r="K30" s="22">
        <f t="shared" si="1"/>
        <v>0.14321608040201003</v>
      </c>
    </row>
    <row r="31" spans="2:11" ht="20.100000000000001" customHeight="1">
      <c r="I31" s="8">
        <f t="shared" si="0"/>
        <v>30000</v>
      </c>
      <c r="J31" s="24">
        <f t="shared" si="1"/>
        <v>0.14851485148514851</v>
      </c>
      <c r="K31" s="22">
        <f t="shared" si="1"/>
        <v>0.14851485148514851</v>
      </c>
    </row>
    <row r="32" spans="2:11" ht="20.100000000000001" customHeight="1">
      <c r="I32" s="8">
        <f t="shared" si="0"/>
        <v>31500</v>
      </c>
      <c r="J32" s="24">
        <f t="shared" si="1"/>
        <v>0.15365853658536585</v>
      </c>
      <c r="K32" s="22">
        <f t="shared" si="1"/>
        <v>0.15365853658536585</v>
      </c>
    </row>
    <row r="33" spans="9:11" ht="20.100000000000001" customHeight="1">
      <c r="I33" s="8">
        <f t="shared" si="0"/>
        <v>33000</v>
      </c>
      <c r="J33" s="24">
        <f t="shared" si="1"/>
        <v>0.15865384615384617</v>
      </c>
      <c r="K33" s="22">
        <f t="shared" si="1"/>
        <v>0.15865384615384617</v>
      </c>
    </row>
    <row r="34" spans="9:11" ht="20.100000000000001" customHeight="1">
      <c r="I34" s="8">
        <f t="shared" si="0"/>
        <v>34500</v>
      </c>
      <c r="J34" s="24">
        <f t="shared" si="1"/>
        <v>0.16350710900473936</v>
      </c>
      <c r="K34" s="22">
        <f t="shared" si="1"/>
        <v>0.16350710900473936</v>
      </c>
    </row>
    <row r="35" spans="9:11" ht="20.100000000000001" customHeight="1">
      <c r="I35" s="8">
        <f t="shared" si="0"/>
        <v>36000</v>
      </c>
      <c r="J35" s="24">
        <f t="shared" si="1"/>
        <v>0.16822429906542055</v>
      </c>
      <c r="K35" s="22">
        <f t="shared" si="1"/>
        <v>0.16822429906542055</v>
      </c>
    </row>
    <row r="36" spans="9:11" ht="20.100000000000001" customHeight="1">
      <c r="I36" s="8">
        <f t="shared" si="0"/>
        <v>37500</v>
      </c>
      <c r="J36" s="24">
        <f t="shared" si="1"/>
        <v>0.1728110599078341</v>
      </c>
      <c r="K36" s="22">
        <f t="shared" si="1"/>
        <v>0.1728110599078341</v>
      </c>
    </row>
    <row r="37" spans="9:11" ht="20.100000000000001" customHeight="1">
      <c r="I37" s="8">
        <f t="shared" si="0"/>
        <v>39000</v>
      </c>
      <c r="J37" s="24">
        <f t="shared" si="1"/>
        <v>0.17727272727272728</v>
      </c>
      <c r="K37" s="22">
        <f t="shared" si="1"/>
        <v>0.17727272727272728</v>
      </c>
    </row>
    <row r="38" spans="9:11" ht="20.100000000000001" customHeight="1">
      <c r="I38" s="8">
        <f t="shared" si="0"/>
        <v>40500</v>
      </c>
      <c r="J38" s="24">
        <f t="shared" si="1"/>
        <v>0.18161434977578478</v>
      </c>
      <c r="K38" s="22">
        <f t="shared" si="1"/>
        <v>0.18161434977578478</v>
      </c>
    </row>
    <row r="39" spans="9:11" ht="20.100000000000001" customHeight="1">
      <c r="I39" s="8">
        <f t="shared" si="0"/>
        <v>42000</v>
      </c>
      <c r="J39" s="24">
        <f t="shared" si="1"/>
        <v>0.18584070796460175</v>
      </c>
      <c r="K39" s="22">
        <f t="shared" si="1"/>
        <v>0.18584070796460175</v>
      </c>
    </row>
    <row r="40" spans="9:11" ht="20.100000000000001" customHeight="1">
      <c r="I40" s="8">
        <f t="shared" si="0"/>
        <v>43500</v>
      </c>
      <c r="J40" s="24">
        <f t="shared" si="1"/>
        <v>0.18995633187772926</v>
      </c>
      <c r="K40" s="22">
        <f t="shared" si="1"/>
        <v>0.18995633187772926</v>
      </c>
    </row>
    <row r="41" spans="9:11" ht="20.100000000000001" customHeight="1">
      <c r="I41" s="8">
        <f t="shared" si="0"/>
        <v>45000</v>
      </c>
      <c r="J41" s="24">
        <f t="shared" si="1"/>
        <v>0.19396551724137934</v>
      </c>
      <c r="K41" s="22">
        <f t="shared" si="1"/>
        <v>0.19396551724137934</v>
      </c>
    </row>
    <row r="42" spans="9:11" ht="20.100000000000001" customHeight="1">
      <c r="I42" s="8">
        <f t="shared" si="0"/>
        <v>46500</v>
      </c>
      <c r="J42" s="24">
        <f t="shared" si="1"/>
        <v>0.19787234042553192</v>
      </c>
      <c r="K42" s="22">
        <f t="shared" si="1"/>
        <v>0.19787234042553192</v>
      </c>
    </row>
    <row r="43" spans="9:11" ht="20.100000000000001" customHeight="1">
      <c r="I43" s="8">
        <f t="shared" si="0"/>
        <v>48000</v>
      </c>
      <c r="J43" s="24">
        <f t="shared" si="1"/>
        <v>0.20168067226890754</v>
      </c>
      <c r="K43" s="22">
        <f t="shared" si="1"/>
        <v>0.20168067226890754</v>
      </c>
    </row>
    <row r="44" spans="9:11" ht="20.100000000000001" customHeight="1">
      <c r="I44" s="8">
        <f t="shared" si="0"/>
        <v>49500</v>
      </c>
      <c r="J44" s="24">
        <f t="shared" ref="J44:K61" si="2">IFERROR(IF((J$5+1)/(J$5+($J$4/($I44-J$8)))*J$6&lt;=IF(J$7&lt;&gt;"N",J$6,999),IF((J$5+1)/(J$5+($J$4/($I44-J$8)))*J$6&gt;=0,(J$5+1)/(J$5+($J$4/($I44-J$8)))*J$6,0),J$6),0)</f>
        <v>0.20539419087136931</v>
      </c>
      <c r="K44" s="22">
        <f t="shared" si="2"/>
        <v>0.20539419087136931</v>
      </c>
    </row>
    <row r="45" spans="9:11" ht="20.100000000000001" customHeight="1">
      <c r="I45" s="8">
        <f t="shared" si="0"/>
        <v>51000</v>
      </c>
      <c r="J45" s="24">
        <f t="shared" si="2"/>
        <v>0.20901639344262296</v>
      </c>
      <c r="K45" s="22">
        <f t="shared" si="2"/>
        <v>0.20901639344262296</v>
      </c>
    </row>
    <row r="46" spans="9:11" ht="20.100000000000001" customHeight="1">
      <c r="I46" s="8">
        <f t="shared" si="0"/>
        <v>52500</v>
      </c>
      <c r="J46" s="24">
        <f t="shared" si="2"/>
        <v>0.21255060728744937</v>
      </c>
      <c r="K46" s="22">
        <f t="shared" si="2"/>
        <v>0.21255060728744937</v>
      </c>
    </row>
    <row r="47" spans="9:11" ht="20.100000000000001" customHeight="1">
      <c r="I47" s="8">
        <f t="shared" si="0"/>
        <v>54000</v>
      </c>
      <c r="J47" s="24">
        <f t="shared" si="2"/>
        <v>0.216</v>
      </c>
      <c r="K47" s="22">
        <f t="shared" si="2"/>
        <v>0.216</v>
      </c>
    </row>
    <row r="48" spans="9:11" ht="20.100000000000001" customHeight="1">
      <c r="I48" s="8">
        <f t="shared" si="0"/>
        <v>55500</v>
      </c>
      <c r="J48" s="24">
        <f t="shared" si="2"/>
        <v>0.21936758893280631</v>
      </c>
      <c r="K48" s="22">
        <f t="shared" si="2"/>
        <v>0.21936758893280631</v>
      </c>
    </row>
    <row r="49" spans="9:11" ht="20.100000000000001" customHeight="1">
      <c r="I49" s="8">
        <f t="shared" si="0"/>
        <v>57000</v>
      </c>
      <c r="J49" s="24">
        <f t="shared" si="2"/>
        <v>0.22265625</v>
      </c>
      <c r="K49" s="22">
        <f t="shared" si="2"/>
        <v>0.22265625</v>
      </c>
    </row>
    <row r="50" spans="9:11" ht="20.100000000000001" customHeight="1">
      <c r="I50" s="8">
        <f t="shared" ref="I50:I59" si="3">$I$11+($I$61-$I$11)/(ROW($I$61)-ROW($I$11))*(ROW($I50)-ROW($I$11))</f>
        <v>58500</v>
      </c>
      <c r="J50" s="24">
        <f t="shared" si="2"/>
        <v>0.22586872586872586</v>
      </c>
      <c r="K50" s="22">
        <f t="shared" si="2"/>
        <v>0.22586872586872586</v>
      </c>
    </row>
    <row r="51" spans="9:11" ht="20.100000000000001" customHeight="1">
      <c r="I51" s="8">
        <f t="shared" si="3"/>
        <v>60000</v>
      </c>
      <c r="J51" s="24">
        <f t="shared" si="2"/>
        <v>0.22900763358778622</v>
      </c>
      <c r="K51" s="22">
        <f t="shared" si="2"/>
        <v>0.22900763358778622</v>
      </c>
    </row>
    <row r="52" spans="9:11" ht="20.100000000000001" customHeight="1">
      <c r="I52" s="8">
        <f t="shared" si="3"/>
        <v>61500</v>
      </c>
      <c r="J52" s="24">
        <f t="shared" si="2"/>
        <v>0.23207547169811321</v>
      </c>
      <c r="K52" s="22">
        <f t="shared" si="2"/>
        <v>0.23207547169811321</v>
      </c>
    </row>
    <row r="53" spans="9:11" ht="20.100000000000001" customHeight="1">
      <c r="I53" s="8">
        <f t="shared" si="3"/>
        <v>63000</v>
      </c>
      <c r="J53" s="24">
        <f t="shared" si="2"/>
        <v>0.23507462686567165</v>
      </c>
      <c r="K53" s="22">
        <f t="shared" si="2"/>
        <v>0.23507462686567165</v>
      </c>
    </row>
    <row r="54" spans="9:11" ht="20.100000000000001" customHeight="1">
      <c r="I54" s="8">
        <f t="shared" si="3"/>
        <v>64500</v>
      </c>
      <c r="J54" s="24">
        <f t="shared" si="2"/>
        <v>0.23800738007380071</v>
      </c>
      <c r="K54" s="22">
        <f t="shared" si="2"/>
        <v>0.23800738007380071</v>
      </c>
    </row>
    <row r="55" spans="9:11" ht="20.100000000000001" customHeight="1">
      <c r="I55" s="8">
        <f t="shared" si="3"/>
        <v>66000</v>
      </c>
      <c r="J55" s="24">
        <f t="shared" si="2"/>
        <v>0.24087591240875914</v>
      </c>
      <c r="K55" s="22">
        <f t="shared" si="2"/>
        <v>0.24087591240875914</v>
      </c>
    </row>
    <row r="56" spans="9:11" ht="20.100000000000001" customHeight="1">
      <c r="I56" s="8">
        <f t="shared" si="3"/>
        <v>67500</v>
      </c>
      <c r="J56" s="24">
        <f t="shared" si="2"/>
        <v>0.24368231046931407</v>
      </c>
      <c r="K56" s="22">
        <f t="shared" si="2"/>
        <v>0.24368231046931407</v>
      </c>
    </row>
    <row r="57" spans="9:11" ht="20.100000000000001" customHeight="1">
      <c r="I57" s="8">
        <f t="shared" si="3"/>
        <v>69000</v>
      </c>
      <c r="J57" s="24">
        <f t="shared" si="2"/>
        <v>0.24642857142857141</v>
      </c>
      <c r="K57" s="22">
        <f t="shared" si="2"/>
        <v>0.24642857142857141</v>
      </c>
    </row>
    <row r="58" spans="9:11" ht="20.100000000000001" customHeight="1">
      <c r="I58" s="8">
        <f t="shared" si="3"/>
        <v>70500</v>
      </c>
      <c r="J58" s="24">
        <f t="shared" si="2"/>
        <v>0.24911660777385161</v>
      </c>
      <c r="K58" s="22">
        <f t="shared" si="2"/>
        <v>0.24911660777385161</v>
      </c>
    </row>
    <row r="59" spans="9:11" ht="20.100000000000001" customHeight="1">
      <c r="I59" s="8">
        <f t="shared" si="3"/>
        <v>72000</v>
      </c>
      <c r="J59" s="24">
        <f t="shared" si="2"/>
        <v>0.25</v>
      </c>
      <c r="K59" s="22">
        <f t="shared" si="2"/>
        <v>0.25</v>
      </c>
    </row>
    <row r="60" spans="9:11" ht="20.100000000000001" customHeight="1">
      <c r="I60" s="8">
        <f>$I$11+($I$61-$I$11)/(ROW($I$61)-ROW($I$11))*(ROW($I60)-ROW($I$11))</f>
        <v>73500</v>
      </c>
      <c r="J60" s="24">
        <f t="shared" si="2"/>
        <v>0.25</v>
      </c>
      <c r="K60" s="22">
        <f t="shared" si="2"/>
        <v>0.25</v>
      </c>
    </row>
    <row r="61" spans="9:11" ht="20.100000000000001" customHeight="1">
      <c r="I61" s="9">
        <f>$D$22</f>
        <v>75000</v>
      </c>
      <c r="J61" s="24">
        <f t="shared" si="2"/>
        <v>0.25</v>
      </c>
      <c r="K61" s="22">
        <f t="shared" si="2"/>
        <v>0.25</v>
      </c>
    </row>
    <row r="62" spans="9:11" ht="20.100000000000001" customHeight="1">
      <c r="I62" s="1"/>
    </row>
  </sheetData>
  <mergeCells count="2">
    <mergeCell ref="B1:G1"/>
    <mergeCell ref="B22:C22"/>
  </mergeCells>
  <conditionalFormatting sqref="B3:G7">
    <cfRule type="expression" dxfId="12" priority="2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"/>
  <sheetViews>
    <sheetView workbookViewId="0" xr3:uid="{51F8DEE0-4D01-5F28-A812-FC0BD7CAC4A5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22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105</v>
      </c>
      <c r="D3" s="10">
        <v>1</v>
      </c>
      <c r="E3" s="14">
        <v>0.5</v>
      </c>
      <c r="F3" s="10">
        <v>300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>&gt;</v>
      </c>
      <c r="B4" s="5">
        <v>106</v>
      </c>
      <c r="C4" s="5">
        <v>115</v>
      </c>
      <c r="D4" s="10">
        <v>1</v>
      </c>
      <c r="E4" s="14">
        <v>0.5</v>
      </c>
      <c r="F4" s="10">
        <v>8750</v>
      </c>
      <c r="G4" s="7">
        <v>-880250</v>
      </c>
      <c r="I4" s="27" t="s">
        <v>11</v>
      </c>
      <c r="J4" s="28">
        <f>SUMPRODUCT(($A$3:$A$99="&gt;")*($F$3:$F$99))*$J$1+SUMPRODUCT(($A$3:$A$99="&gt;")*($G$3:$G$99))+J$8</f>
        <v>126000</v>
      </c>
      <c r="K4" s="18">
        <f>SUMPRODUCT(($A$3:$A$99="&gt;")*($F$3:$F$99))*$J$1+SUMPRODUCT(($A$3:$A$99="&gt;")*($G$3:$G$99))+K$8</f>
        <v>126000</v>
      </c>
    </row>
    <row r="5" spans="1:11" ht="20.100000000000001" customHeight="1">
      <c r="A5" s="3"/>
      <c r="I5" s="27" t="s">
        <v>5</v>
      </c>
      <c r="J5" s="29">
        <f>SUMPRODUCT(($A$3:$A$99="&gt;")*($D$3:$D$99))</f>
        <v>1</v>
      </c>
      <c r="K5" s="19">
        <f>$J5</f>
        <v>1</v>
      </c>
    </row>
    <row r="6" spans="1:11" ht="20.100000000000001" customHeight="1">
      <c r="A6" s="3"/>
      <c r="I6" s="27" t="s">
        <v>6</v>
      </c>
      <c r="J6" s="30">
        <f>SUMPRODUCT(($A$3:$A$99="&gt;")*($E$3:$E$99))</f>
        <v>0.5</v>
      </c>
      <c r="K6" s="20">
        <f>$J6</f>
        <v>0.5</v>
      </c>
    </row>
    <row r="7" spans="1:11" ht="20.100000000000001" customHeight="1">
      <c r="A7" s="3"/>
      <c r="I7" s="27" t="s">
        <v>12</v>
      </c>
      <c r="J7" s="31" t="s">
        <v>23</v>
      </c>
      <c r="K7" s="26" t="str">
        <f>$J7</f>
        <v>N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2800</v>
      </c>
      <c r="J12" s="24">
        <f t="shared" ref="J12:K43" si="1">IFERROR(IF((J$5+1)/(J$5+($J$4/($I12-J$8)))*J$6&lt;=IF(J$7&lt;&gt;"N",J$6,999),IF((J$5+1)/(J$5+($J$4/($I12-J$8)))*J$6&gt;=0,(J$5+1)/(J$5+($J$4/($I12-J$8)))*J$6,0),J$6),0)</f>
        <v>2.1739130434782608E-2</v>
      </c>
      <c r="K12" s="22">
        <f t="shared" si="1"/>
        <v>2.1739130434782608E-2</v>
      </c>
    </row>
    <row r="13" spans="1:11" ht="20.100000000000001" customHeight="1">
      <c r="I13" s="8">
        <f t="shared" si="0"/>
        <v>5600</v>
      </c>
      <c r="J13" s="24">
        <f t="shared" si="1"/>
        <v>4.2553191489361701E-2</v>
      </c>
      <c r="K13" s="22">
        <f t="shared" si="1"/>
        <v>4.2553191489361701E-2</v>
      </c>
    </row>
    <row r="14" spans="1:11" ht="20.100000000000001" customHeight="1">
      <c r="I14" s="8">
        <f t="shared" si="0"/>
        <v>8400</v>
      </c>
      <c r="J14" s="24">
        <f t="shared" si="1"/>
        <v>6.25E-2</v>
      </c>
      <c r="K14" s="22">
        <f t="shared" si="1"/>
        <v>6.25E-2</v>
      </c>
    </row>
    <row r="15" spans="1:11" ht="20.100000000000001" customHeight="1">
      <c r="I15" s="8">
        <f t="shared" si="0"/>
        <v>11200</v>
      </c>
      <c r="J15" s="24">
        <f t="shared" si="1"/>
        <v>8.1632653061224483E-2</v>
      </c>
      <c r="K15" s="22">
        <f t="shared" si="1"/>
        <v>8.1632653061224483E-2</v>
      </c>
    </row>
    <row r="16" spans="1:11" ht="20.100000000000001" customHeight="1">
      <c r="I16" s="8">
        <f t="shared" si="0"/>
        <v>14000</v>
      </c>
      <c r="J16" s="24">
        <f t="shared" si="1"/>
        <v>0.1</v>
      </c>
      <c r="K16" s="22">
        <f t="shared" si="1"/>
        <v>0.1</v>
      </c>
    </row>
    <row r="17" spans="2:11" ht="20.100000000000001" customHeight="1">
      <c r="I17" s="8">
        <f t="shared" si="0"/>
        <v>16800</v>
      </c>
      <c r="J17" s="24">
        <f t="shared" si="1"/>
        <v>0.11764705882352941</v>
      </c>
      <c r="K17" s="22">
        <f t="shared" si="1"/>
        <v>0.11764705882352941</v>
      </c>
    </row>
    <row r="18" spans="2:11" ht="20.100000000000001" customHeight="1">
      <c r="B18" s="11"/>
      <c r="I18" s="8">
        <f t="shared" si="0"/>
        <v>19600</v>
      </c>
      <c r="J18" s="24">
        <f t="shared" si="1"/>
        <v>0.13461538461538461</v>
      </c>
      <c r="K18" s="22">
        <f t="shared" si="1"/>
        <v>0.13461538461538461</v>
      </c>
    </row>
    <row r="19" spans="2:11" ht="20.100000000000001" customHeight="1">
      <c r="B19" s="42" t="s">
        <v>18</v>
      </c>
      <c r="C19" s="43"/>
      <c r="D19" s="16">
        <f>ROUNDUP($J$4*1.05,-LEN(TEXT($J$4*1.05,"0"))+2)</f>
        <v>140000</v>
      </c>
      <c r="I19" s="8">
        <f t="shared" si="0"/>
        <v>22400</v>
      </c>
      <c r="J19" s="24">
        <f t="shared" si="1"/>
        <v>0.15094339622641509</v>
      </c>
      <c r="K19" s="22">
        <f t="shared" si="1"/>
        <v>0.15094339622641509</v>
      </c>
    </row>
    <row r="20" spans="2:11" ht="20.100000000000001" customHeight="1">
      <c r="I20" s="8">
        <f t="shared" si="0"/>
        <v>25200</v>
      </c>
      <c r="J20" s="24">
        <f t="shared" si="1"/>
        <v>0.16666666666666666</v>
      </c>
      <c r="K20" s="22">
        <f t="shared" si="1"/>
        <v>0.16666666666666666</v>
      </c>
    </row>
    <row r="21" spans="2:11" ht="20.100000000000001" customHeight="1">
      <c r="I21" s="8">
        <f t="shared" si="0"/>
        <v>28000</v>
      </c>
      <c r="J21" s="24">
        <f t="shared" si="1"/>
        <v>0.18181818181818182</v>
      </c>
      <c r="K21" s="22">
        <f t="shared" si="1"/>
        <v>0.18181818181818182</v>
      </c>
    </row>
    <row r="22" spans="2:11" ht="20.100000000000001" customHeight="1">
      <c r="I22" s="8">
        <f t="shared" si="0"/>
        <v>30800</v>
      </c>
      <c r="J22" s="24">
        <f t="shared" si="1"/>
        <v>0.19642857142857142</v>
      </c>
      <c r="K22" s="22">
        <f t="shared" si="1"/>
        <v>0.19642857142857142</v>
      </c>
    </row>
    <row r="23" spans="2:11" ht="20.100000000000001" customHeight="1">
      <c r="I23" s="8">
        <f t="shared" si="0"/>
        <v>33600</v>
      </c>
      <c r="J23" s="24">
        <f t="shared" si="1"/>
        <v>0.21052631578947367</v>
      </c>
      <c r="K23" s="22">
        <f t="shared" si="1"/>
        <v>0.21052631578947367</v>
      </c>
    </row>
    <row r="24" spans="2:11" ht="20.100000000000001" customHeight="1">
      <c r="I24" s="8">
        <f t="shared" si="0"/>
        <v>36400</v>
      </c>
      <c r="J24" s="24">
        <f t="shared" si="1"/>
        <v>0.22413793103448276</v>
      </c>
      <c r="K24" s="22">
        <f t="shared" si="1"/>
        <v>0.22413793103448276</v>
      </c>
    </row>
    <row r="25" spans="2:11" ht="20.100000000000001" customHeight="1">
      <c r="B25"/>
      <c r="I25" s="8">
        <f t="shared" si="0"/>
        <v>39200</v>
      </c>
      <c r="J25" s="24">
        <f t="shared" si="1"/>
        <v>0.23728813559322035</v>
      </c>
      <c r="K25" s="22">
        <f t="shared" si="1"/>
        <v>0.23728813559322035</v>
      </c>
    </row>
    <row r="26" spans="2:11" ht="20.100000000000001" customHeight="1">
      <c r="I26" s="8">
        <f t="shared" si="0"/>
        <v>42000</v>
      </c>
      <c r="J26" s="24">
        <f t="shared" si="1"/>
        <v>0.25</v>
      </c>
      <c r="K26" s="22">
        <f t="shared" si="1"/>
        <v>0.25</v>
      </c>
    </row>
    <row r="27" spans="2:11" ht="20.100000000000001" customHeight="1">
      <c r="I27" s="8">
        <f t="shared" si="0"/>
        <v>44800</v>
      </c>
      <c r="J27" s="24">
        <f t="shared" si="1"/>
        <v>0.26229508196721313</v>
      </c>
      <c r="K27" s="22">
        <f t="shared" si="1"/>
        <v>0.26229508196721313</v>
      </c>
    </row>
    <row r="28" spans="2:11" ht="20.100000000000001" customHeight="1">
      <c r="I28" s="8">
        <f t="shared" si="0"/>
        <v>47600</v>
      </c>
      <c r="J28" s="24">
        <f t="shared" si="1"/>
        <v>0.27419354838709675</v>
      </c>
      <c r="K28" s="22">
        <f t="shared" si="1"/>
        <v>0.27419354838709675</v>
      </c>
    </row>
    <row r="29" spans="2:11" ht="20.100000000000001" customHeight="1">
      <c r="I29" s="8">
        <f t="shared" si="0"/>
        <v>50400</v>
      </c>
      <c r="J29" s="24">
        <f t="shared" si="1"/>
        <v>0.2857142857142857</v>
      </c>
      <c r="K29" s="22">
        <f t="shared" si="1"/>
        <v>0.2857142857142857</v>
      </c>
    </row>
    <row r="30" spans="2:11" ht="20.100000000000001" customHeight="1">
      <c r="I30" s="8">
        <f t="shared" si="0"/>
        <v>53200</v>
      </c>
      <c r="J30" s="24">
        <f t="shared" si="1"/>
        <v>0.296875</v>
      </c>
      <c r="K30" s="22">
        <f t="shared" si="1"/>
        <v>0.296875</v>
      </c>
    </row>
    <row r="31" spans="2:11" ht="20.100000000000001" customHeight="1">
      <c r="I31" s="8">
        <f t="shared" si="0"/>
        <v>56000</v>
      </c>
      <c r="J31" s="24">
        <f t="shared" si="1"/>
        <v>0.30769230769230771</v>
      </c>
      <c r="K31" s="22">
        <f t="shared" si="1"/>
        <v>0.30769230769230771</v>
      </c>
    </row>
    <row r="32" spans="2:11" ht="20.100000000000001" customHeight="1">
      <c r="I32" s="8">
        <f t="shared" si="0"/>
        <v>58800</v>
      </c>
      <c r="J32" s="24">
        <f t="shared" si="1"/>
        <v>0.31818181818181818</v>
      </c>
      <c r="K32" s="22">
        <f t="shared" si="1"/>
        <v>0.31818181818181818</v>
      </c>
    </row>
    <row r="33" spans="9:11" ht="20.100000000000001" customHeight="1">
      <c r="I33" s="8">
        <f t="shared" si="0"/>
        <v>61600</v>
      </c>
      <c r="J33" s="24">
        <f t="shared" si="1"/>
        <v>0.32835820895522388</v>
      </c>
      <c r="K33" s="22">
        <f t="shared" si="1"/>
        <v>0.32835820895522388</v>
      </c>
    </row>
    <row r="34" spans="9:11" ht="20.100000000000001" customHeight="1">
      <c r="I34" s="8">
        <f t="shared" si="0"/>
        <v>64400</v>
      </c>
      <c r="J34" s="24">
        <f t="shared" si="1"/>
        <v>0.33823529411764708</v>
      </c>
      <c r="K34" s="22">
        <f t="shared" si="1"/>
        <v>0.33823529411764708</v>
      </c>
    </row>
    <row r="35" spans="9:11" ht="20.100000000000001" customHeight="1">
      <c r="I35" s="8">
        <f t="shared" si="0"/>
        <v>67200</v>
      </c>
      <c r="J35" s="24">
        <f t="shared" si="1"/>
        <v>0.34782608695652173</v>
      </c>
      <c r="K35" s="22">
        <f t="shared" si="1"/>
        <v>0.34782608695652173</v>
      </c>
    </row>
    <row r="36" spans="9:11" ht="20.100000000000001" customHeight="1">
      <c r="I36" s="8">
        <f t="shared" si="0"/>
        <v>70000</v>
      </c>
      <c r="J36" s="24">
        <f t="shared" si="1"/>
        <v>0.35714285714285715</v>
      </c>
      <c r="K36" s="22">
        <f t="shared" si="1"/>
        <v>0.35714285714285715</v>
      </c>
    </row>
    <row r="37" spans="9:11" ht="20.100000000000001" customHeight="1">
      <c r="I37" s="8">
        <f t="shared" si="0"/>
        <v>72800</v>
      </c>
      <c r="J37" s="24">
        <f t="shared" si="1"/>
        <v>0.36619718309859156</v>
      </c>
      <c r="K37" s="22">
        <f t="shared" si="1"/>
        <v>0.36619718309859156</v>
      </c>
    </row>
    <row r="38" spans="9:11" ht="20.100000000000001" customHeight="1">
      <c r="I38" s="8">
        <f t="shared" si="0"/>
        <v>75600</v>
      </c>
      <c r="J38" s="24">
        <f t="shared" si="1"/>
        <v>0.37499999999999994</v>
      </c>
      <c r="K38" s="22">
        <f t="shared" si="1"/>
        <v>0.37499999999999994</v>
      </c>
    </row>
    <row r="39" spans="9:11" ht="20.100000000000001" customHeight="1">
      <c r="I39" s="8">
        <f t="shared" si="0"/>
        <v>78400</v>
      </c>
      <c r="J39" s="24">
        <f t="shared" si="1"/>
        <v>0.38356164383561642</v>
      </c>
      <c r="K39" s="22">
        <f t="shared" si="1"/>
        <v>0.38356164383561642</v>
      </c>
    </row>
    <row r="40" spans="9:11" ht="20.100000000000001" customHeight="1">
      <c r="I40" s="8">
        <f t="shared" si="0"/>
        <v>81200</v>
      </c>
      <c r="J40" s="24">
        <f t="shared" si="1"/>
        <v>0.39189189189189189</v>
      </c>
      <c r="K40" s="22">
        <f t="shared" si="1"/>
        <v>0.39189189189189189</v>
      </c>
    </row>
    <row r="41" spans="9:11" ht="20.100000000000001" customHeight="1">
      <c r="I41" s="8">
        <f t="shared" si="0"/>
        <v>84000</v>
      </c>
      <c r="J41" s="24">
        <f t="shared" si="1"/>
        <v>0.4</v>
      </c>
      <c r="K41" s="22">
        <f t="shared" si="1"/>
        <v>0.4</v>
      </c>
    </row>
    <row r="42" spans="9:11" ht="20.100000000000001" customHeight="1">
      <c r="I42" s="8">
        <f t="shared" si="0"/>
        <v>86800</v>
      </c>
      <c r="J42" s="24">
        <f t="shared" si="1"/>
        <v>0.40789473684210525</v>
      </c>
      <c r="K42" s="22">
        <f t="shared" si="1"/>
        <v>0.40789473684210525</v>
      </c>
    </row>
    <row r="43" spans="9:11" ht="20.100000000000001" customHeight="1">
      <c r="I43" s="8">
        <f t="shared" si="0"/>
        <v>89600</v>
      </c>
      <c r="J43" s="24">
        <f t="shared" si="1"/>
        <v>0.41558441558441561</v>
      </c>
      <c r="K43" s="22">
        <f t="shared" si="1"/>
        <v>0.41558441558441561</v>
      </c>
    </row>
    <row r="44" spans="9:11" ht="20.100000000000001" customHeight="1">
      <c r="I44" s="8">
        <f t="shared" si="0"/>
        <v>92400</v>
      </c>
      <c r="J44" s="24">
        <f t="shared" ref="J44:K61" si="2">IFERROR(IF((J$5+1)/(J$5+($J$4/($I44-J$8)))*J$6&lt;=IF(J$7&lt;&gt;"N",J$6,999),IF((J$5+1)/(J$5+($J$4/($I44-J$8)))*J$6&gt;=0,(J$5+1)/(J$5+($J$4/($I44-J$8)))*J$6,0),J$6),0)</f>
        <v>0.42307692307692313</v>
      </c>
      <c r="K44" s="22">
        <f t="shared" si="2"/>
        <v>0.42307692307692313</v>
      </c>
    </row>
    <row r="45" spans="9:11" ht="20.100000000000001" customHeight="1">
      <c r="I45" s="8">
        <f t="shared" si="0"/>
        <v>95200</v>
      </c>
      <c r="J45" s="24">
        <f t="shared" si="2"/>
        <v>0.43037974683544311</v>
      </c>
      <c r="K45" s="22">
        <f t="shared" si="2"/>
        <v>0.43037974683544311</v>
      </c>
    </row>
    <row r="46" spans="9:11" ht="20.100000000000001" customHeight="1">
      <c r="I46" s="8">
        <f t="shared" si="0"/>
        <v>98000</v>
      </c>
      <c r="J46" s="24">
        <f t="shared" si="2"/>
        <v>0.4375</v>
      </c>
      <c r="K46" s="22">
        <f t="shared" si="2"/>
        <v>0.4375</v>
      </c>
    </row>
    <row r="47" spans="9:11" ht="20.100000000000001" customHeight="1">
      <c r="I47" s="8">
        <f t="shared" si="0"/>
        <v>100800</v>
      </c>
      <c r="J47" s="24">
        <f t="shared" si="2"/>
        <v>0.44444444444444442</v>
      </c>
      <c r="K47" s="22">
        <f t="shared" si="2"/>
        <v>0.44444444444444442</v>
      </c>
    </row>
    <row r="48" spans="9:11" ht="20.100000000000001" customHeight="1">
      <c r="I48" s="8">
        <f t="shared" si="0"/>
        <v>103600</v>
      </c>
      <c r="J48" s="24">
        <f t="shared" si="2"/>
        <v>0.45121951219512196</v>
      </c>
      <c r="K48" s="22">
        <f t="shared" si="2"/>
        <v>0.45121951219512196</v>
      </c>
    </row>
    <row r="49" spans="9:11" ht="20.100000000000001" customHeight="1">
      <c r="I49" s="8">
        <f t="shared" si="0"/>
        <v>106400</v>
      </c>
      <c r="J49" s="24">
        <f t="shared" si="2"/>
        <v>0.45783132530120485</v>
      </c>
      <c r="K49" s="22">
        <f t="shared" si="2"/>
        <v>0.45783132530120485</v>
      </c>
    </row>
    <row r="50" spans="9:11" ht="20.100000000000001" customHeight="1">
      <c r="I50" s="8">
        <f t="shared" si="0"/>
        <v>109200</v>
      </c>
      <c r="J50" s="24">
        <f t="shared" si="2"/>
        <v>0.4642857142857143</v>
      </c>
      <c r="K50" s="22">
        <f t="shared" si="2"/>
        <v>0.4642857142857143</v>
      </c>
    </row>
    <row r="51" spans="9:11" ht="20.100000000000001" customHeight="1">
      <c r="I51" s="8">
        <f t="shared" si="0"/>
        <v>112000</v>
      </c>
      <c r="J51" s="24">
        <f t="shared" si="2"/>
        <v>0.47058823529411764</v>
      </c>
      <c r="K51" s="22">
        <f t="shared" si="2"/>
        <v>0.47058823529411764</v>
      </c>
    </row>
    <row r="52" spans="9:11" ht="20.100000000000001" customHeight="1">
      <c r="I52" s="8">
        <f t="shared" si="0"/>
        <v>114800</v>
      </c>
      <c r="J52" s="24">
        <f t="shared" si="2"/>
        <v>0.47674418604651159</v>
      </c>
      <c r="K52" s="22">
        <f t="shared" si="2"/>
        <v>0.47674418604651159</v>
      </c>
    </row>
    <row r="53" spans="9:11" ht="20.100000000000001" customHeight="1">
      <c r="I53" s="8">
        <f t="shared" si="0"/>
        <v>117600</v>
      </c>
      <c r="J53" s="24">
        <f t="shared" si="2"/>
        <v>0.48275862068965525</v>
      </c>
      <c r="K53" s="22">
        <f t="shared" si="2"/>
        <v>0.48275862068965525</v>
      </c>
    </row>
    <row r="54" spans="9:11" ht="20.100000000000001" customHeight="1">
      <c r="I54" s="8">
        <f t="shared" si="0"/>
        <v>120400</v>
      </c>
      <c r="J54" s="24">
        <f t="shared" si="2"/>
        <v>0.48863636363636359</v>
      </c>
      <c r="K54" s="22">
        <f t="shared" si="2"/>
        <v>0.48863636363636359</v>
      </c>
    </row>
    <row r="55" spans="9:11" ht="20.100000000000001" customHeight="1">
      <c r="I55" s="8">
        <f t="shared" si="0"/>
        <v>123200</v>
      </c>
      <c r="J55" s="24">
        <f t="shared" si="2"/>
        <v>0.49438202247191015</v>
      </c>
      <c r="K55" s="22">
        <f t="shared" si="2"/>
        <v>0.49438202247191015</v>
      </c>
    </row>
    <row r="56" spans="9:11" ht="20.100000000000001" customHeight="1">
      <c r="I56" s="8">
        <f t="shared" si="0"/>
        <v>126000</v>
      </c>
      <c r="J56" s="24">
        <f t="shared" si="2"/>
        <v>0.5</v>
      </c>
      <c r="K56" s="22">
        <f t="shared" si="2"/>
        <v>0.5</v>
      </c>
    </row>
    <row r="57" spans="9:11" ht="20.100000000000001" customHeight="1">
      <c r="I57" s="8">
        <f t="shared" si="0"/>
        <v>128800</v>
      </c>
      <c r="J57" s="24">
        <f t="shared" si="2"/>
        <v>0.50549450549450547</v>
      </c>
      <c r="K57" s="22">
        <f t="shared" si="2"/>
        <v>0.50549450549450547</v>
      </c>
    </row>
    <row r="58" spans="9:11" ht="20.100000000000001" customHeight="1">
      <c r="I58" s="8">
        <f t="shared" si="0"/>
        <v>131600</v>
      </c>
      <c r="J58" s="24">
        <f t="shared" si="2"/>
        <v>0.51086956521739124</v>
      </c>
      <c r="K58" s="22">
        <f t="shared" si="2"/>
        <v>0.51086956521739124</v>
      </c>
    </row>
    <row r="59" spans="9:11" ht="20.100000000000001" customHeight="1">
      <c r="I59" s="8">
        <f t="shared" si="0"/>
        <v>134400</v>
      </c>
      <c r="J59" s="24">
        <f t="shared" si="2"/>
        <v>0.5161290322580645</v>
      </c>
      <c r="K59" s="22">
        <f t="shared" si="2"/>
        <v>0.5161290322580645</v>
      </c>
    </row>
    <row r="60" spans="9:11" ht="20.100000000000001" customHeight="1">
      <c r="I60" s="8">
        <f>$I$11+($I$61-$I$11)/(ROW($I$61)-ROW($I$11))*(ROW($I60)-ROW($I$11))</f>
        <v>137200</v>
      </c>
      <c r="J60" s="24">
        <f t="shared" si="2"/>
        <v>0.52127659574468088</v>
      </c>
      <c r="K60" s="22">
        <f t="shared" si="2"/>
        <v>0.52127659574468088</v>
      </c>
    </row>
    <row r="61" spans="9:11" ht="20.100000000000001" customHeight="1">
      <c r="I61" s="9">
        <f>$D$19</f>
        <v>140000</v>
      </c>
      <c r="J61" s="24">
        <f t="shared" si="2"/>
        <v>0.52631578947368418</v>
      </c>
      <c r="K61" s="22">
        <f t="shared" si="2"/>
        <v>0.52631578947368418</v>
      </c>
    </row>
    <row r="62" spans="9:11" ht="20.100000000000001" customHeight="1">
      <c r="I62" s="1"/>
    </row>
  </sheetData>
  <mergeCells count="2">
    <mergeCell ref="B1:G1"/>
    <mergeCell ref="B19:C19"/>
  </mergeCells>
  <conditionalFormatting sqref="B3:G4">
    <cfRule type="expression" dxfId="11" priority="2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"/>
  <sheetViews>
    <sheetView workbookViewId="0" xr3:uid="{F9CF3CF3-643B-5BE6-8B46-32C596A47465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24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105</v>
      </c>
      <c r="D3" s="10">
        <v>10</v>
      </c>
      <c r="E3" s="14">
        <v>0.5</v>
      </c>
      <c r="F3" s="10">
        <v>4000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>&gt;</v>
      </c>
      <c r="B4" s="5">
        <v>106</v>
      </c>
      <c r="C4" s="5">
        <v>115</v>
      </c>
      <c r="D4" s="10">
        <v>10</v>
      </c>
      <c r="E4" s="14">
        <v>0.5</v>
      </c>
      <c r="F4" s="10">
        <f>350000/3</f>
        <v>116666.66666666667</v>
      </c>
      <c r="G4" s="7">
        <f>-35210000/3</f>
        <v>-11736666.666666666</v>
      </c>
      <c r="I4" s="27" t="s">
        <v>11</v>
      </c>
      <c r="J4" s="28">
        <f>SUMPRODUCT(($A$3:$A$99="&gt;")*($F$3:$F$99))*$J$1+SUMPRODUCT(($A$3:$A$99="&gt;")*($G$3:$G$99))+J$8</f>
        <v>1680000.0000000019</v>
      </c>
      <c r="K4" s="18">
        <f>SUMPRODUCT(($A$3:$A$99="&gt;")*($F$3:$F$99))*$J$1+SUMPRODUCT(($A$3:$A$99="&gt;")*($G$3:$G$99))+K$8</f>
        <v>1680000.0000000019</v>
      </c>
    </row>
    <row r="5" spans="1:11" ht="20.100000000000001" customHeight="1">
      <c r="A5" s="3"/>
      <c r="I5" s="27" t="s">
        <v>5</v>
      </c>
      <c r="J5" s="29">
        <f>SUMPRODUCT(($A$3:$A$99="&gt;")*($D$3:$D$99))</f>
        <v>10</v>
      </c>
      <c r="K5" s="19">
        <f>$J5</f>
        <v>10</v>
      </c>
    </row>
    <row r="6" spans="1:11" ht="20.100000000000001" customHeight="1">
      <c r="A6" s="3"/>
      <c r="I6" s="27" t="s">
        <v>6</v>
      </c>
      <c r="J6" s="30">
        <f>SUMPRODUCT(($A$3:$A$99="&gt;")*($E$3:$E$99))</f>
        <v>0.5</v>
      </c>
      <c r="K6" s="20">
        <f>$J6</f>
        <v>0.5</v>
      </c>
    </row>
    <row r="7" spans="1:11" ht="20.100000000000001" customHeight="1">
      <c r="A7" s="3"/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3600</v>
      </c>
      <c r="J12" s="24">
        <f t="shared" ref="J12:K43" si="1">IFERROR(IF((J$5+1)/(J$5+($J$4/($I12-J$8)))*J$6&lt;=IF(J$7&lt;&gt;"N",J$6,999),IF((J$5+1)/(J$5+($J$4/($I12-J$8)))*J$6&gt;=0,(J$5+1)/(J$5+($J$4/($I12-J$8)))*J$6,0),J$6),0)</f>
        <v>1.1538461538461525E-2</v>
      </c>
      <c r="K12" s="22">
        <f t="shared" si="1"/>
        <v>1.1538461538461525E-2</v>
      </c>
    </row>
    <row r="13" spans="1:11" ht="20.100000000000001" customHeight="1">
      <c r="I13" s="8">
        <f t="shared" si="0"/>
        <v>7200</v>
      </c>
      <c r="J13" s="24">
        <f t="shared" si="1"/>
        <v>2.2602739726027374E-2</v>
      </c>
      <c r="K13" s="22">
        <f t="shared" si="1"/>
        <v>2.2602739726027374E-2</v>
      </c>
    </row>
    <row r="14" spans="1:11" ht="20.100000000000001" customHeight="1">
      <c r="I14" s="8">
        <f t="shared" si="0"/>
        <v>10800</v>
      </c>
      <c r="J14" s="24">
        <f t="shared" si="1"/>
        <v>3.3221476510067079E-2</v>
      </c>
      <c r="K14" s="22">
        <f t="shared" si="1"/>
        <v>3.3221476510067079E-2</v>
      </c>
    </row>
    <row r="15" spans="1:11" ht="20.100000000000001" customHeight="1">
      <c r="I15" s="8">
        <f t="shared" si="0"/>
        <v>14400</v>
      </c>
      <c r="J15" s="24">
        <f t="shared" si="1"/>
        <v>4.3421052631578902E-2</v>
      </c>
      <c r="K15" s="22">
        <f t="shared" si="1"/>
        <v>4.3421052631578902E-2</v>
      </c>
    </row>
    <row r="16" spans="1:11" ht="20.100000000000001" customHeight="1">
      <c r="I16" s="8">
        <f t="shared" si="0"/>
        <v>18000</v>
      </c>
      <c r="J16" s="24">
        <f t="shared" si="1"/>
        <v>5.3225806451612845E-2</v>
      </c>
      <c r="K16" s="22">
        <f t="shared" si="1"/>
        <v>5.3225806451612845E-2</v>
      </c>
    </row>
    <row r="17" spans="2:11" ht="20.100000000000001" customHeight="1">
      <c r="I17" s="8">
        <f t="shared" si="0"/>
        <v>21600</v>
      </c>
      <c r="J17" s="24">
        <f t="shared" si="1"/>
        <v>6.2658227848101197E-2</v>
      </c>
      <c r="K17" s="22">
        <f t="shared" si="1"/>
        <v>6.2658227848101197E-2</v>
      </c>
    </row>
    <row r="18" spans="2:11" ht="20.100000000000001" customHeight="1">
      <c r="B18" s="11"/>
      <c r="I18" s="8">
        <f t="shared" si="0"/>
        <v>25200</v>
      </c>
      <c r="J18" s="24">
        <f t="shared" si="1"/>
        <v>7.1739130434782541E-2</v>
      </c>
      <c r="K18" s="22">
        <f t="shared" si="1"/>
        <v>7.1739130434782541E-2</v>
      </c>
    </row>
    <row r="19" spans="2:11" ht="20.100000000000001" customHeight="1">
      <c r="B19" s="42" t="s">
        <v>18</v>
      </c>
      <c r="C19" s="43"/>
      <c r="D19" s="16">
        <f>ROUNDUP($J$4/10*1.05,-LEN(TEXT($J$4/10*1.05,"0"))+2)</f>
        <v>180000</v>
      </c>
      <c r="I19" s="8">
        <f t="shared" si="0"/>
        <v>28800</v>
      </c>
      <c r="J19" s="24">
        <f t="shared" si="1"/>
        <v>8.0487804878048699E-2</v>
      </c>
      <c r="K19" s="22">
        <f t="shared" si="1"/>
        <v>8.0487804878048699E-2</v>
      </c>
    </row>
    <row r="20" spans="2:11" ht="20.100000000000001" customHeight="1">
      <c r="I20" s="8">
        <f t="shared" si="0"/>
        <v>32400</v>
      </c>
      <c r="J20" s="24">
        <f t="shared" si="1"/>
        <v>8.8922155688622675E-2</v>
      </c>
      <c r="K20" s="22">
        <f t="shared" si="1"/>
        <v>8.8922155688622675E-2</v>
      </c>
    </row>
    <row r="21" spans="2:11" ht="20.100000000000001" customHeight="1">
      <c r="I21" s="8">
        <f t="shared" si="0"/>
        <v>36000</v>
      </c>
      <c r="J21" s="24">
        <f t="shared" si="1"/>
        <v>9.705882352941167E-2</v>
      </c>
      <c r="K21" s="22">
        <f t="shared" si="1"/>
        <v>9.705882352941167E-2</v>
      </c>
    </row>
    <row r="22" spans="2:11" ht="20.100000000000001" customHeight="1">
      <c r="I22" s="8">
        <f t="shared" si="0"/>
        <v>39600</v>
      </c>
      <c r="J22" s="24">
        <f t="shared" si="1"/>
        <v>0.10491329479768777</v>
      </c>
      <c r="K22" s="22">
        <f t="shared" si="1"/>
        <v>0.10491329479768777</v>
      </c>
    </row>
    <row r="23" spans="2:11" ht="20.100000000000001" customHeight="1">
      <c r="I23" s="8">
        <f t="shared" si="0"/>
        <v>43200</v>
      </c>
      <c r="J23" s="24">
        <f t="shared" si="1"/>
        <v>0.11249999999999989</v>
      </c>
      <c r="K23" s="22">
        <f t="shared" si="1"/>
        <v>0.11249999999999989</v>
      </c>
    </row>
    <row r="24" spans="2:11" ht="20.100000000000001" customHeight="1">
      <c r="I24" s="8">
        <f t="shared" si="0"/>
        <v>46800</v>
      </c>
      <c r="J24" s="24">
        <f t="shared" si="1"/>
        <v>0.11983240223463676</v>
      </c>
      <c r="K24" s="22">
        <f t="shared" si="1"/>
        <v>0.11983240223463676</v>
      </c>
    </row>
    <row r="25" spans="2:11" ht="20.100000000000001" customHeight="1">
      <c r="B25"/>
      <c r="I25" s="8">
        <f t="shared" si="0"/>
        <v>50400</v>
      </c>
      <c r="J25" s="24">
        <f t="shared" si="1"/>
        <v>0.12692307692307681</v>
      </c>
      <c r="K25" s="22">
        <f t="shared" si="1"/>
        <v>0.12692307692307681</v>
      </c>
    </row>
    <row r="26" spans="2:11" ht="20.100000000000001" customHeight="1">
      <c r="I26" s="8">
        <f t="shared" si="0"/>
        <v>54000</v>
      </c>
      <c r="J26" s="24">
        <f t="shared" si="1"/>
        <v>0.13378378378378369</v>
      </c>
      <c r="K26" s="22">
        <f t="shared" si="1"/>
        <v>0.13378378378378369</v>
      </c>
    </row>
    <row r="27" spans="2:11" ht="20.100000000000001" customHeight="1">
      <c r="I27" s="8">
        <f t="shared" si="0"/>
        <v>57600</v>
      </c>
      <c r="J27" s="24">
        <f t="shared" si="1"/>
        <v>0.14042553191489349</v>
      </c>
      <c r="K27" s="22">
        <f t="shared" si="1"/>
        <v>0.14042553191489349</v>
      </c>
    </row>
    <row r="28" spans="2:11" ht="20.100000000000001" customHeight="1">
      <c r="I28" s="8">
        <f t="shared" si="0"/>
        <v>61200</v>
      </c>
      <c r="J28" s="24">
        <f t="shared" si="1"/>
        <v>0.14685863874345537</v>
      </c>
      <c r="K28" s="22">
        <f t="shared" si="1"/>
        <v>0.14685863874345537</v>
      </c>
    </row>
    <row r="29" spans="2:11" ht="20.100000000000001" customHeight="1">
      <c r="I29" s="8">
        <f t="shared" si="0"/>
        <v>64800</v>
      </c>
      <c r="J29" s="24">
        <f t="shared" si="1"/>
        <v>0.15309278350515454</v>
      </c>
      <c r="K29" s="22">
        <f t="shared" si="1"/>
        <v>0.15309278350515454</v>
      </c>
    </row>
    <row r="30" spans="2:11" ht="20.100000000000001" customHeight="1">
      <c r="I30" s="8">
        <f t="shared" si="0"/>
        <v>68400</v>
      </c>
      <c r="J30" s="24">
        <f t="shared" si="1"/>
        <v>0.15913705583756332</v>
      </c>
      <c r="K30" s="22">
        <f t="shared" si="1"/>
        <v>0.15913705583756332</v>
      </c>
    </row>
    <row r="31" spans="2:11" ht="20.100000000000001" customHeight="1">
      <c r="I31" s="8">
        <f t="shared" si="0"/>
        <v>72000</v>
      </c>
      <c r="J31" s="24">
        <f t="shared" si="1"/>
        <v>0.16499999999999987</v>
      </c>
      <c r="K31" s="22">
        <f t="shared" si="1"/>
        <v>0.16499999999999987</v>
      </c>
    </row>
    <row r="32" spans="2:11" ht="20.100000000000001" customHeight="1">
      <c r="I32" s="8">
        <f t="shared" si="0"/>
        <v>75600</v>
      </c>
      <c r="J32" s="24">
        <f t="shared" si="1"/>
        <v>0.17068965517241369</v>
      </c>
      <c r="K32" s="22">
        <f t="shared" si="1"/>
        <v>0.17068965517241369</v>
      </c>
    </row>
    <row r="33" spans="9:11" ht="20.100000000000001" customHeight="1">
      <c r="I33" s="8">
        <f t="shared" si="0"/>
        <v>79200</v>
      </c>
      <c r="J33" s="24">
        <f t="shared" si="1"/>
        <v>0.17621359223300959</v>
      </c>
      <c r="K33" s="22">
        <f t="shared" si="1"/>
        <v>0.17621359223300959</v>
      </c>
    </row>
    <row r="34" spans="9:11" ht="20.100000000000001" customHeight="1">
      <c r="I34" s="8">
        <f t="shared" si="0"/>
        <v>82800</v>
      </c>
      <c r="J34" s="24">
        <f t="shared" si="1"/>
        <v>0.18157894736842092</v>
      </c>
      <c r="K34" s="22">
        <f t="shared" si="1"/>
        <v>0.18157894736842092</v>
      </c>
    </row>
    <row r="35" spans="9:11" ht="20.100000000000001" customHeight="1">
      <c r="I35" s="8">
        <f t="shared" si="0"/>
        <v>86400</v>
      </c>
      <c r="J35" s="24">
        <f t="shared" si="1"/>
        <v>0.18679245283018853</v>
      </c>
      <c r="K35" s="22">
        <f t="shared" si="1"/>
        <v>0.18679245283018853</v>
      </c>
    </row>
    <row r="36" spans="9:11" ht="20.100000000000001" customHeight="1">
      <c r="I36" s="8">
        <f t="shared" si="0"/>
        <v>90000</v>
      </c>
      <c r="J36" s="24">
        <f t="shared" si="1"/>
        <v>0.19186046511627894</v>
      </c>
      <c r="K36" s="22">
        <f t="shared" si="1"/>
        <v>0.19186046511627894</v>
      </c>
    </row>
    <row r="37" spans="9:11" ht="20.100000000000001" customHeight="1">
      <c r="I37" s="8">
        <f t="shared" si="0"/>
        <v>93600</v>
      </c>
      <c r="J37" s="24">
        <f t="shared" si="1"/>
        <v>0.19678899082568793</v>
      </c>
      <c r="K37" s="22">
        <f t="shared" si="1"/>
        <v>0.19678899082568793</v>
      </c>
    </row>
    <row r="38" spans="9:11" ht="20.100000000000001" customHeight="1">
      <c r="I38" s="8">
        <f t="shared" si="0"/>
        <v>97200</v>
      </c>
      <c r="J38" s="24">
        <f t="shared" si="1"/>
        <v>0.20158371040723969</v>
      </c>
      <c r="K38" s="22">
        <f t="shared" si="1"/>
        <v>0.20158371040723969</v>
      </c>
    </row>
    <row r="39" spans="9:11" ht="20.100000000000001" customHeight="1">
      <c r="I39" s="8">
        <f t="shared" si="0"/>
        <v>100800</v>
      </c>
      <c r="J39" s="24">
        <f t="shared" si="1"/>
        <v>0.20624999999999985</v>
      </c>
      <c r="K39" s="22">
        <f t="shared" si="1"/>
        <v>0.20624999999999985</v>
      </c>
    </row>
    <row r="40" spans="9:11" ht="20.100000000000001" customHeight="1">
      <c r="I40" s="8">
        <f t="shared" si="0"/>
        <v>104400</v>
      </c>
      <c r="J40" s="24">
        <f t="shared" si="1"/>
        <v>0.21079295154185007</v>
      </c>
      <c r="K40" s="22">
        <f t="shared" si="1"/>
        <v>0.21079295154185007</v>
      </c>
    </row>
    <row r="41" spans="9:11" ht="20.100000000000001" customHeight="1">
      <c r="I41" s="8">
        <f t="shared" si="0"/>
        <v>108000</v>
      </c>
      <c r="J41" s="24">
        <f t="shared" si="1"/>
        <v>0.21521739130434769</v>
      </c>
      <c r="K41" s="22">
        <f t="shared" si="1"/>
        <v>0.21521739130434769</v>
      </c>
    </row>
    <row r="42" spans="9:11" ht="20.100000000000001" customHeight="1">
      <c r="I42" s="8">
        <f t="shared" si="0"/>
        <v>111600</v>
      </c>
      <c r="J42" s="24">
        <f t="shared" si="1"/>
        <v>0.21952789699570802</v>
      </c>
      <c r="K42" s="22">
        <f t="shared" si="1"/>
        <v>0.21952789699570802</v>
      </c>
    </row>
    <row r="43" spans="9:11" ht="20.100000000000001" customHeight="1">
      <c r="I43" s="8">
        <f t="shared" si="0"/>
        <v>115200</v>
      </c>
      <c r="J43" s="24">
        <f t="shared" si="1"/>
        <v>0.22372881355932189</v>
      </c>
      <c r="K43" s="22">
        <f t="shared" si="1"/>
        <v>0.22372881355932189</v>
      </c>
    </row>
    <row r="44" spans="9:11" ht="20.100000000000001" customHeight="1">
      <c r="I44" s="8">
        <f t="shared" si="0"/>
        <v>118800</v>
      </c>
      <c r="J44" s="24">
        <f t="shared" ref="J44:K61" si="2">IFERROR(IF((J$5+1)/(J$5+($J$4/($I44-J$8)))*J$6&lt;=IF(J$7&lt;&gt;"N",J$6,999),IF((J$5+1)/(J$5+($J$4/($I44-J$8)))*J$6&gt;=0,(J$5+1)/(J$5+($J$4/($I44-J$8)))*J$6,0),J$6),0)</f>
        <v>0.22782426778242659</v>
      </c>
      <c r="K44" s="22">
        <f t="shared" si="2"/>
        <v>0.22782426778242659</v>
      </c>
    </row>
    <row r="45" spans="9:11" ht="20.100000000000001" customHeight="1">
      <c r="I45" s="8">
        <f t="shared" si="0"/>
        <v>122400</v>
      </c>
      <c r="J45" s="24">
        <f t="shared" si="2"/>
        <v>0.23181818181818167</v>
      </c>
      <c r="K45" s="22">
        <f t="shared" si="2"/>
        <v>0.23181818181818167</v>
      </c>
    </row>
    <row r="46" spans="9:11" ht="20.100000000000001" customHeight="1">
      <c r="I46" s="8">
        <f t="shared" si="0"/>
        <v>126000</v>
      </c>
      <c r="J46" s="24">
        <f t="shared" si="2"/>
        <v>0.23571428571428554</v>
      </c>
      <c r="K46" s="22">
        <f t="shared" si="2"/>
        <v>0.23571428571428554</v>
      </c>
    </row>
    <row r="47" spans="9:11" ht="20.100000000000001" customHeight="1">
      <c r="I47" s="8">
        <f t="shared" si="0"/>
        <v>129600</v>
      </c>
      <c r="J47" s="24">
        <f t="shared" si="2"/>
        <v>0.23951612903225794</v>
      </c>
      <c r="K47" s="22">
        <f t="shared" si="2"/>
        <v>0.23951612903225794</v>
      </c>
    </row>
    <row r="48" spans="9:11" ht="20.100000000000001" customHeight="1">
      <c r="I48" s="8">
        <f t="shared" si="0"/>
        <v>133200</v>
      </c>
      <c r="J48" s="24">
        <f t="shared" si="2"/>
        <v>0.24322709163346598</v>
      </c>
      <c r="K48" s="22">
        <f t="shared" si="2"/>
        <v>0.24322709163346598</v>
      </c>
    </row>
    <row r="49" spans="9:11" ht="20.100000000000001" customHeight="1">
      <c r="I49" s="8">
        <f t="shared" si="0"/>
        <v>136800</v>
      </c>
      <c r="J49" s="24">
        <f t="shared" si="2"/>
        <v>0.24685039370078724</v>
      </c>
      <c r="K49" s="22">
        <f t="shared" si="2"/>
        <v>0.24685039370078724</v>
      </c>
    </row>
    <row r="50" spans="9:11" ht="20.100000000000001" customHeight="1">
      <c r="I50" s="8">
        <f t="shared" si="0"/>
        <v>140400</v>
      </c>
      <c r="J50" s="24">
        <f t="shared" si="2"/>
        <v>0.25038910505836559</v>
      </c>
      <c r="K50" s="22">
        <f t="shared" si="2"/>
        <v>0.25038910505836559</v>
      </c>
    </row>
    <row r="51" spans="9:11" ht="20.100000000000001" customHeight="1">
      <c r="I51" s="8">
        <f t="shared" si="0"/>
        <v>144000</v>
      </c>
      <c r="J51" s="24">
        <f t="shared" si="2"/>
        <v>0.25384615384615372</v>
      </c>
      <c r="K51" s="22">
        <f t="shared" si="2"/>
        <v>0.25384615384615372</v>
      </c>
    </row>
    <row r="52" spans="9:11" ht="20.100000000000001" customHeight="1">
      <c r="I52" s="8">
        <f t="shared" si="0"/>
        <v>147600</v>
      </c>
      <c r="J52" s="24">
        <f t="shared" si="2"/>
        <v>0.25722433460076027</v>
      </c>
      <c r="K52" s="22">
        <f t="shared" si="2"/>
        <v>0.25722433460076027</v>
      </c>
    </row>
    <row r="53" spans="9:11" ht="20.100000000000001" customHeight="1">
      <c r="I53" s="8">
        <f t="shared" si="0"/>
        <v>151200</v>
      </c>
      <c r="J53" s="24">
        <f t="shared" si="2"/>
        <v>0.26052631578947355</v>
      </c>
      <c r="K53" s="22">
        <f t="shared" si="2"/>
        <v>0.26052631578947355</v>
      </c>
    </row>
    <row r="54" spans="9:11" ht="20.100000000000001" customHeight="1">
      <c r="I54" s="8">
        <f t="shared" si="0"/>
        <v>154800</v>
      </c>
      <c r="J54" s="24">
        <f t="shared" si="2"/>
        <v>0.26375464684014854</v>
      </c>
      <c r="K54" s="22">
        <f t="shared" si="2"/>
        <v>0.26375464684014854</v>
      </c>
    </row>
    <row r="55" spans="9:11" ht="20.100000000000001" customHeight="1">
      <c r="I55" s="8">
        <f t="shared" si="0"/>
        <v>158400</v>
      </c>
      <c r="J55" s="24">
        <f t="shared" si="2"/>
        <v>0.26691176470588224</v>
      </c>
      <c r="K55" s="22">
        <f t="shared" si="2"/>
        <v>0.26691176470588224</v>
      </c>
    </row>
    <row r="56" spans="9:11" ht="20.100000000000001" customHeight="1">
      <c r="I56" s="8">
        <f t="shared" si="0"/>
        <v>162000</v>
      </c>
      <c r="J56" s="24">
        <f t="shared" si="2"/>
        <v>0.26999999999999985</v>
      </c>
      <c r="K56" s="22">
        <f t="shared" si="2"/>
        <v>0.26999999999999985</v>
      </c>
    </row>
    <row r="57" spans="9:11" ht="20.100000000000001" customHeight="1">
      <c r="I57" s="8">
        <f t="shared" si="0"/>
        <v>165600</v>
      </c>
      <c r="J57" s="24">
        <f t="shared" si="2"/>
        <v>0.27302158273381277</v>
      </c>
      <c r="K57" s="22">
        <f t="shared" si="2"/>
        <v>0.27302158273381277</v>
      </c>
    </row>
    <row r="58" spans="9:11" ht="20.100000000000001" customHeight="1">
      <c r="I58" s="8">
        <f t="shared" si="0"/>
        <v>169200</v>
      </c>
      <c r="J58" s="24">
        <f t="shared" si="2"/>
        <v>0.27597864768683256</v>
      </c>
      <c r="K58" s="22">
        <f t="shared" si="2"/>
        <v>0.27597864768683256</v>
      </c>
    </row>
    <row r="59" spans="9:11" ht="20.100000000000001" customHeight="1">
      <c r="I59" s="8">
        <f t="shared" si="0"/>
        <v>172800</v>
      </c>
      <c r="J59" s="24">
        <f t="shared" si="2"/>
        <v>0.27887323943661951</v>
      </c>
      <c r="K59" s="22">
        <f t="shared" si="2"/>
        <v>0.27887323943661951</v>
      </c>
    </row>
    <row r="60" spans="9:11" ht="20.100000000000001" customHeight="1">
      <c r="I60" s="8">
        <f>$I$11+($I$61-$I$11)/(ROW($I$61)-ROW($I$11))*(ROW($I60)-ROW($I$11))</f>
        <v>176400</v>
      </c>
      <c r="J60" s="24">
        <f t="shared" si="2"/>
        <v>0.28170731707317059</v>
      </c>
      <c r="K60" s="22">
        <f t="shared" si="2"/>
        <v>0.28170731707317059</v>
      </c>
    </row>
    <row r="61" spans="9:11" ht="20.100000000000001" customHeight="1">
      <c r="I61" s="9">
        <f>$D$19</f>
        <v>180000</v>
      </c>
      <c r="J61" s="24">
        <f t="shared" si="2"/>
        <v>0.2844827586206895</v>
      </c>
      <c r="K61" s="22">
        <f t="shared" si="2"/>
        <v>0.2844827586206895</v>
      </c>
    </row>
    <row r="62" spans="9:11" ht="20.100000000000001" customHeight="1">
      <c r="I62" s="1"/>
    </row>
  </sheetData>
  <mergeCells count="2">
    <mergeCell ref="B1:G1"/>
    <mergeCell ref="B19:C19"/>
  </mergeCells>
  <conditionalFormatting sqref="B3:G4">
    <cfRule type="expression" dxfId="10" priority="2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2"/>
  <sheetViews>
    <sheetView workbookViewId="0" xr3:uid="{78B4E459-6924-5F8B-B7BA-2DD04133E49E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44" t="s">
        <v>25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50</v>
      </c>
      <c r="D3" s="10">
        <v>1</v>
      </c>
      <c r="E3" s="14">
        <v>0.3</v>
      </c>
      <c r="F3" s="10">
        <v>180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51</v>
      </c>
      <c r="C4" s="5">
        <v>105</v>
      </c>
      <c r="D4" s="10">
        <v>1</v>
      </c>
      <c r="E4" s="14">
        <v>0.5</v>
      </c>
      <c r="F4" s="10">
        <f>2600/7</f>
        <v>371.42857142857144</v>
      </c>
      <c r="G4" s="7"/>
      <c r="I4" s="27" t="s">
        <v>11</v>
      </c>
      <c r="J4" s="28">
        <f>SUMPRODUCT(($A$3:$A$99="&gt;")*($F$3:$F$99))*$J$1+SUMPRODUCT(($A$3:$A$99="&gt;")*($G$3:$G$99))+J$8</f>
        <v>156000.00000000023</v>
      </c>
      <c r="K4" s="18">
        <f>SUMPRODUCT(($A$3:$A$99="&gt;")*($F$3:$F$99))*$J$1+SUMPRODUCT(($A$3:$A$99="&gt;")*($G$3:$G$99))+K$8</f>
        <v>166350.00000000023</v>
      </c>
    </row>
    <row r="5" spans="1:11" ht="20.100000000000001" customHeight="1">
      <c r="A5" s="3" t="str">
        <f>IF(AND($J$1&gt;=$B5,$J$1&lt;=$C5),"&gt;","")</f>
        <v>&gt;</v>
      </c>
      <c r="B5" s="5">
        <v>106</v>
      </c>
      <c r="C5" s="5">
        <v>115</v>
      </c>
      <c r="D5" s="10">
        <v>1</v>
      </c>
      <c r="E5" s="14">
        <v>0.5</v>
      </c>
      <c r="F5" s="10">
        <f>32500/3</f>
        <v>10833.333333333334</v>
      </c>
      <c r="G5" s="7">
        <f>-3269500/3</f>
        <v>-1089833.3333333333</v>
      </c>
      <c r="I5" s="27" t="s">
        <v>5</v>
      </c>
      <c r="J5" s="29">
        <f>SUMPRODUCT(($A$3:$A$99="&gt;")*($D$3:$D$99))</f>
        <v>1</v>
      </c>
      <c r="K5" s="19">
        <f>$J5</f>
        <v>1</v>
      </c>
    </row>
    <row r="6" spans="1:11" ht="20.100000000000001" customHeight="1">
      <c r="I6" s="27" t="s">
        <v>6</v>
      </c>
      <c r="J6" s="30">
        <f>SUMPRODUCT(($A$3:$A$99="&gt;")*($E$3:$E$99))</f>
        <v>0.5</v>
      </c>
      <c r="K6" s="20">
        <f>$J6</f>
        <v>0.5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f>$J$1*90</f>
        <v>10350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3600</v>
      </c>
      <c r="J12" s="24">
        <f t="shared" ref="J12:K43" si="1">IFERROR(IF((J$5+1)/(J$5+($J$4/($I12-J$8)))*J$6&lt;=IF(J$7&lt;&gt;"N",J$6,999),IF((J$5+1)/(J$5+($J$4/($I12-J$8)))*J$6&gt;=0,(J$5+1)/(J$5+($J$4/($I12-J$8)))*J$6,0),J$6),0)</f>
        <v>2.2556390977443577E-2</v>
      </c>
      <c r="K12" s="22">
        <f t="shared" si="1"/>
        <v>0</v>
      </c>
    </row>
    <row r="13" spans="1:11" ht="20.100000000000001" customHeight="1">
      <c r="I13" s="8">
        <f t="shared" si="0"/>
        <v>7200</v>
      </c>
      <c r="J13" s="24">
        <f t="shared" si="1"/>
        <v>4.4117647058823463E-2</v>
      </c>
      <c r="K13" s="22">
        <f t="shared" si="1"/>
        <v>0</v>
      </c>
    </row>
    <row r="14" spans="1:11" ht="20.100000000000001" customHeight="1">
      <c r="I14" s="8">
        <f t="shared" si="0"/>
        <v>10800</v>
      </c>
      <c r="J14" s="24">
        <f t="shared" si="1"/>
        <v>6.4748201438848837E-2</v>
      </c>
      <c r="K14" s="22">
        <f t="shared" si="1"/>
        <v>2.876318312559919E-3</v>
      </c>
    </row>
    <row r="15" spans="1:11" ht="20.100000000000001" customHeight="1">
      <c r="I15" s="8">
        <f t="shared" si="0"/>
        <v>14400</v>
      </c>
      <c r="J15" s="24">
        <f t="shared" si="1"/>
        <v>8.4507042253521014E-2</v>
      </c>
      <c r="K15" s="22">
        <f t="shared" si="1"/>
        <v>2.5304592314901557E-2</v>
      </c>
    </row>
    <row r="16" spans="1:11" ht="20.100000000000001" customHeight="1">
      <c r="I16" s="8">
        <f t="shared" si="0"/>
        <v>18000</v>
      </c>
      <c r="J16" s="24">
        <f t="shared" si="1"/>
        <v>0.10344827586206883</v>
      </c>
      <c r="K16" s="22">
        <f t="shared" si="1"/>
        <v>4.6746104491292323E-2</v>
      </c>
    </row>
    <row r="17" spans="2:11" ht="20.100000000000001" customHeight="1">
      <c r="I17" s="8">
        <f t="shared" si="0"/>
        <v>21600</v>
      </c>
      <c r="J17" s="24">
        <f t="shared" si="1"/>
        <v>0.12162162162162148</v>
      </c>
      <c r="K17" s="22">
        <f t="shared" si="1"/>
        <v>6.7264573991031293E-2</v>
      </c>
    </row>
    <row r="18" spans="2:11" ht="20.100000000000001" customHeight="1">
      <c r="I18" s="8">
        <f t="shared" si="0"/>
        <v>25200</v>
      </c>
      <c r="J18" s="24">
        <f t="shared" si="1"/>
        <v>0.13907284768211903</v>
      </c>
      <c r="K18" s="22">
        <f t="shared" si="1"/>
        <v>8.6918349429323846E-2</v>
      </c>
    </row>
    <row r="19" spans="2:11" ht="20.100000000000001" customHeight="1">
      <c r="B19" s="11"/>
      <c r="I19" s="8">
        <f t="shared" si="0"/>
        <v>28800</v>
      </c>
      <c r="J19" s="24">
        <f t="shared" si="1"/>
        <v>0.15584415584415565</v>
      </c>
      <c r="K19" s="22">
        <f t="shared" si="1"/>
        <v>0.10576096302665507</v>
      </c>
    </row>
    <row r="20" spans="2:11" ht="20.100000000000001" customHeight="1">
      <c r="B20" s="42" t="s">
        <v>18</v>
      </c>
      <c r="C20" s="43"/>
      <c r="D20" s="16">
        <f>ROUNDUP(MAX($J$4:$K$4)*1.05,-LEN(TEXT(MAX($J$4:$K$4)*1.05,"0"))+2)</f>
        <v>180000</v>
      </c>
      <c r="I20" s="8">
        <f t="shared" si="0"/>
        <v>32400</v>
      </c>
      <c r="J20" s="24">
        <f t="shared" si="1"/>
        <v>0.17197452229299343</v>
      </c>
      <c r="K20" s="22">
        <f t="shared" si="1"/>
        <v>0.12384161752316747</v>
      </c>
    </row>
    <row r="21" spans="2:11" ht="20.100000000000001" customHeight="1">
      <c r="I21" s="8">
        <f t="shared" si="0"/>
        <v>36000</v>
      </c>
      <c r="J21" s="24">
        <f t="shared" si="1"/>
        <v>0.18749999999999975</v>
      </c>
      <c r="K21" s="22">
        <f t="shared" si="1"/>
        <v>0.14120561519405431</v>
      </c>
    </row>
    <row r="22" spans="2:11" ht="20.100000000000001" customHeight="1">
      <c r="I22" s="8">
        <f t="shared" si="0"/>
        <v>39600</v>
      </c>
      <c r="J22" s="24">
        <f t="shared" si="1"/>
        <v>0.20245398773006112</v>
      </c>
      <c r="K22" s="22">
        <f t="shared" si="1"/>
        <v>0.15789473684210506</v>
      </c>
    </row>
    <row r="23" spans="2:11" ht="20.100000000000001" customHeight="1">
      <c r="I23" s="8">
        <f t="shared" si="0"/>
        <v>43200</v>
      </c>
      <c r="J23" s="24">
        <f t="shared" si="1"/>
        <v>0.21686746987951783</v>
      </c>
      <c r="K23" s="22">
        <f t="shared" si="1"/>
        <v>0.1739475774424144</v>
      </c>
    </row>
    <row r="24" spans="2:11" ht="20.100000000000001" customHeight="1">
      <c r="I24" s="8">
        <f t="shared" si="0"/>
        <v>46800</v>
      </c>
      <c r="J24" s="24">
        <f t="shared" si="1"/>
        <v>0.2307692307692305</v>
      </c>
      <c r="K24" s="22">
        <f t="shared" si="1"/>
        <v>0.1893998441153544</v>
      </c>
    </row>
    <row r="25" spans="2:11" ht="20.100000000000001" customHeight="1">
      <c r="I25" s="8">
        <f t="shared" si="0"/>
        <v>50400</v>
      </c>
      <c r="J25" s="24">
        <f t="shared" si="1"/>
        <v>0.24418604651162762</v>
      </c>
      <c r="K25" s="22">
        <f t="shared" si="1"/>
        <v>0.20428462127008393</v>
      </c>
    </row>
    <row r="26" spans="2:11" ht="20.100000000000001" customHeight="1">
      <c r="B26"/>
      <c r="I26" s="8">
        <f t="shared" si="0"/>
        <v>54000</v>
      </c>
      <c r="J26" s="24">
        <f t="shared" si="1"/>
        <v>0.25714285714285684</v>
      </c>
      <c r="K26" s="22">
        <f t="shared" si="1"/>
        <v>0.21863260706235887</v>
      </c>
    </row>
    <row r="27" spans="2:11" ht="20.100000000000001" customHeight="1">
      <c r="I27" s="8">
        <f t="shared" si="0"/>
        <v>57600</v>
      </c>
      <c r="J27" s="24">
        <f t="shared" si="1"/>
        <v>0.26966292134831432</v>
      </c>
      <c r="K27" s="22">
        <f t="shared" si="1"/>
        <v>0.23247232472324694</v>
      </c>
    </row>
    <row r="28" spans="2:11" ht="20.100000000000001" customHeight="1">
      <c r="I28" s="8">
        <f t="shared" si="0"/>
        <v>61200</v>
      </c>
      <c r="J28" s="24">
        <f t="shared" si="1"/>
        <v>0.28176795580110464</v>
      </c>
      <c r="K28" s="22">
        <f t="shared" si="1"/>
        <v>0.2458303118201593</v>
      </c>
    </row>
    <row r="29" spans="2:11" ht="20.100000000000001" customHeight="1">
      <c r="I29" s="8">
        <f t="shared" si="0"/>
        <v>64800</v>
      </c>
      <c r="J29" s="24">
        <f t="shared" si="1"/>
        <v>0.29347826086956491</v>
      </c>
      <c r="K29" s="22">
        <f t="shared" si="1"/>
        <v>0.25873129009265833</v>
      </c>
    </row>
    <row r="30" spans="2:11" ht="20.100000000000001" customHeight="1">
      <c r="I30" s="8">
        <f t="shared" si="0"/>
        <v>68400</v>
      </c>
      <c r="J30" s="24">
        <f t="shared" si="1"/>
        <v>0.30481283422459859</v>
      </c>
      <c r="K30" s="22">
        <f t="shared" si="1"/>
        <v>0.27119831814996465</v>
      </c>
    </row>
    <row r="31" spans="2:11" ht="20.100000000000001" customHeight="1">
      <c r="I31" s="8">
        <f t="shared" si="0"/>
        <v>72000</v>
      </c>
      <c r="J31" s="24">
        <f t="shared" si="1"/>
        <v>0.31578947368421018</v>
      </c>
      <c r="K31" s="22">
        <f t="shared" si="1"/>
        <v>0.28325292901447247</v>
      </c>
    </row>
    <row r="32" spans="2:11" ht="20.100000000000001" customHeight="1">
      <c r="I32" s="8">
        <f t="shared" si="0"/>
        <v>75600</v>
      </c>
      <c r="J32" s="24">
        <f t="shared" si="1"/>
        <v>0.32642487046632096</v>
      </c>
      <c r="K32" s="22">
        <f t="shared" si="1"/>
        <v>0.29491525423728782</v>
      </c>
    </row>
    <row r="33" spans="9:11" ht="20.100000000000001" customHeight="1">
      <c r="I33" s="8">
        <f t="shared" si="0"/>
        <v>79200</v>
      </c>
      <c r="J33" s="24">
        <f t="shared" si="1"/>
        <v>0.33673469387755073</v>
      </c>
      <c r="K33" s="22">
        <f t="shared" si="1"/>
        <v>0.30620413609072683</v>
      </c>
    </row>
    <row r="34" spans="9:11" ht="20.100000000000001" customHeight="1">
      <c r="I34" s="8">
        <f t="shared" si="0"/>
        <v>82800</v>
      </c>
      <c r="J34" s="24">
        <f t="shared" si="1"/>
        <v>0.34673366834170816</v>
      </c>
      <c r="K34" s="22">
        <f t="shared" si="1"/>
        <v>0.3171372291529872</v>
      </c>
    </row>
    <row r="35" spans="9:11" ht="20.100000000000001" customHeight="1">
      <c r="I35" s="8">
        <f t="shared" si="0"/>
        <v>86400</v>
      </c>
      <c r="J35" s="24">
        <f t="shared" si="1"/>
        <v>0.35643564356435614</v>
      </c>
      <c r="K35" s="22">
        <f t="shared" si="1"/>
        <v>0.32773109243697446</v>
      </c>
    </row>
    <row r="36" spans="9:11" ht="20.100000000000001" customHeight="1">
      <c r="I36" s="8">
        <f t="shared" si="0"/>
        <v>90000</v>
      </c>
      <c r="J36" s="24">
        <f t="shared" si="1"/>
        <v>0.36585365853658502</v>
      </c>
      <c r="K36" s="22">
        <f t="shared" si="1"/>
        <v>0.33800127307447453</v>
      </c>
    </row>
    <row r="37" spans="9:11" ht="20.100000000000001" customHeight="1">
      <c r="I37" s="8">
        <f t="shared" si="0"/>
        <v>93600</v>
      </c>
      <c r="J37" s="24">
        <f t="shared" si="1"/>
        <v>0.37499999999999967</v>
      </c>
      <c r="K37" s="22">
        <f t="shared" si="1"/>
        <v>0.34796238244514072</v>
      </c>
    </row>
    <row r="38" spans="9:11" ht="20.100000000000001" customHeight="1">
      <c r="I38" s="8">
        <f t="shared" si="0"/>
        <v>97200</v>
      </c>
      <c r="J38" s="24">
        <f t="shared" si="1"/>
        <v>0.38388625592417019</v>
      </c>
      <c r="K38" s="22">
        <f t="shared" si="1"/>
        <v>0.35762816553428012</v>
      </c>
    </row>
    <row r="39" spans="9:11" ht="20.100000000000001" customHeight="1">
      <c r="I39" s="8">
        <f t="shared" si="0"/>
        <v>100800</v>
      </c>
      <c r="J39" s="24">
        <f t="shared" si="1"/>
        <v>0.39252336448598091</v>
      </c>
      <c r="K39" s="22">
        <f t="shared" si="1"/>
        <v>0.36701156421180731</v>
      </c>
    </row>
    <row r="40" spans="9:11" ht="20.100000000000001" customHeight="1">
      <c r="I40" s="8">
        <f t="shared" si="0"/>
        <v>104400</v>
      </c>
      <c r="J40" s="24">
        <f t="shared" si="1"/>
        <v>0.40092165898617482</v>
      </c>
      <c r="K40" s="22">
        <f t="shared" si="1"/>
        <v>0.37612477504499059</v>
      </c>
    </row>
    <row r="41" spans="9:11" ht="20.100000000000001" customHeight="1">
      <c r="I41" s="8">
        <f t="shared" si="0"/>
        <v>108000</v>
      </c>
      <c r="J41" s="24">
        <f t="shared" si="1"/>
        <v>0.40909090909090878</v>
      </c>
      <c r="K41" s="22">
        <f t="shared" si="1"/>
        <v>0.3849793021880541</v>
      </c>
    </row>
    <row r="42" spans="9:11" ht="20.100000000000001" customHeight="1">
      <c r="I42" s="8">
        <f t="shared" si="0"/>
        <v>111600</v>
      </c>
      <c r="J42" s="24">
        <f t="shared" si="1"/>
        <v>0.41704035874439421</v>
      </c>
      <c r="K42" s="22">
        <f t="shared" si="1"/>
        <v>0.39358600583090342</v>
      </c>
    </row>
    <row r="43" spans="9:11" ht="20.100000000000001" customHeight="1">
      <c r="I43" s="8">
        <f t="shared" si="0"/>
        <v>115200</v>
      </c>
      <c r="J43" s="24">
        <f t="shared" si="1"/>
        <v>0.42477876106194651</v>
      </c>
      <c r="K43" s="22">
        <f t="shared" si="1"/>
        <v>0.40195514663599741</v>
      </c>
    </row>
    <row r="44" spans="9:11" ht="20.100000000000001" customHeight="1">
      <c r="I44" s="8">
        <f t="shared" si="0"/>
        <v>118800</v>
      </c>
      <c r="J44" s="24">
        <f t="shared" ref="J44:K61" si="2">IFERROR(IF((J$5+1)/(J$5+($J$4/($I44-J$8)))*J$6&lt;=IF(J$7&lt;&gt;"N",J$6,999),IF((J$5+1)/(J$5+($J$4/($I44-J$8)))*J$6&gt;=0,(J$5+1)/(J$5+($J$4/($I44-J$8)))*J$6,0),J$6),0)</f>
        <v>0.43231441048034902</v>
      </c>
      <c r="K44" s="22">
        <f t="shared" si="2"/>
        <v>0.41009642654566048</v>
      </c>
    </row>
    <row r="45" spans="9:11" ht="20.100000000000001" customHeight="1">
      <c r="I45" s="8">
        <f t="shared" si="0"/>
        <v>122400</v>
      </c>
      <c r="J45" s="24">
        <f t="shared" si="2"/>
        <v>0.43965517241379276</v>
      </c>
      <c r="K45" s="22">
        <f t="shared" si="2"/>
        <v>0.41801902630106286</v>
      </c>
    </row>
    <row r="46" spans="9:11" ht="20.100000000000001" customHeight="1">
      <c r="I46" s="8">
        <f t="shared" si="0"/>
        <v>126000</v>
      </c>
      <c r="J46" s="24">
        <f t="shared" si="2"/>
        <v>0.44680851063829752</v>
      </c>
      <c r="K46" s="22">
        <f t="shared" si="2"/>
        <v>0.42573163997791236</v>
      </c>
    </row>
    <row r="47" spans="9:11" ht="20.100000000000001" customHeight="1">
      <c r="I47" s="8">
        <f t="shared" si="0"/>
        <v>129600</v>
      </c>
      <c r="J47" s="24">
        <f t="shared" si="2"/>
        <v>0.45378151260504163</v>
      </c>
      <c r="K47" s="22">
        <f t="shared" si="2"/>
        <v>0.43324250681198873</v>
      </c>
    </row>
    <row r="48" spans="9:11" ht="20.100000000000001" customHeight="1">
      <c r="I48" s="8">
        <f t="shared" si="0"/>
        <v>133200</v>
      </c>
      <c r="J48" s="24">
        <f t="shared" si="2"/>
        <v>0.46058091286307018</v>
      </c>
      <c r="K48" s="22">
        <f t="shared" si="2"/>
        <v>0.44055944055944024</v>
      </c>
    </row>
    <row r="49" spans="9:12" ht="20.100000000000001" customHeight="1">
      <c r="I49" s="8">
        <f t="shared" si="0"/>
        <v>136800</v>
      </c>
      <c r="J49" s="24">
        <f t="shared" si="2"/>
        <v>0.46721311475409799</v>
      </c>
      <c r="K49" s="22">
        <f t="shared" si="2"/>
        <v>0.44768985661178934</v>
      </c>
    </row>
    <row r="50" spans="9:12" ht="20.100000000000001" customHeight="1">
      <c r="I50" s="8">
        <f t="shared" si="0"/>
        <v>140400</v>
      </c>
      <c r="J50" s="24">
        <f t="shared" si="2"/>
        <v>0.47368421052631549</v>
      </c>
      <c r="K50" s="22">
        <f t="shared" si="2"/>
        <v>0.45464079706345006</v>
      </c>
    </row>
    <row r="51" spans="9:12" ht="20.100000000000001" customHeight="1">
      <c r="I51" s="8">
        <f t="shared" si="0"/>
        <v>144000</v>
      </c>
      <c r="J51" s="24">
        <f t="shared" si="2"/>
        <v>0.47999999999999965</v>
      </c>
      <c r="K51" s="22">
        <f t="shared" si="2"/>
        <v>0.46141895390989085</v>
      </c>
    </row>
    <row r="52" spans="9:12" ht="20.100000000000001" customHeight="1">
      <c r="I52" s="8">
        <f t="shared" si="0"/>
        <v>147600</v>
      </c>
      <c r="J52" s="24">
        <f t="shared" si="2"/>
        <v>0.48616600790513798</v>
      </c>
      <c r="K52" s="22">
        <f t="shared" si="2"/>
        <v>0.46803069053708402</v>
      </c>
    </row>
    <row r="53" spans="9:12" ht="20.100000000000001" customHeight="1">
      <c r="I53" s="8">
        <f t="shared" si="0"/>
        <v>151200</v>
      </c>
      <c r="J53" s="24">
        <f t="shared" si="2"/>
        <v>0.49218749999999961</v>
      </c>
      <c r="K53" s="22">
        <f t="shared" si="2"/>
        <v>0.47448206164729628</v>
      </c>
    </row>
    <row r="54" spans="9:12" ht="20.100000000000001" customHeight="1">
      <c r="I54" s="8">
        <f t="shared" si="0"/>
        <v>154800</v>
      </c>
      <c r="J54" s="24">
        <f t="shared" si="2"/>
        <v>0.49806949806949763</v>
      </c>
      <c r="K54" s="22">
        <f t="shared" si="2"/>
        <v>0.48077883175237107</v>
      </c>
    </row>
    <row r="55" spans="9:12" ht="20.100000000000001" customHeight="1">
      <c r="I55" s="8">
        <f t="shared" si="0"/>
        <v>158400</v>
      </c>
      <c r="J55" s="24">
        <f t="shared" si="2"/>
        <v>0.5</v>
      </c>
      <c r="K55" s="22">
        <f t="shared" si="2"/>
        <v>0.48692649235323093</v>
      </c>
    </row>
    <row r="56" spans="9:12" ht="20.100000000000001" customHeight="1">
      <c r="I56" s="8">
        <f t="shared" si="0"/>
        <v>162000</v>
      </c>
      <c r="J56" s="24">
        <f t="shared" si="2"/>
        <v>0.5</v>
      </c>
      <c r="K56" s="22">
        <f t="shared" si="2"/>
        <v>0.4929302779132127</v>
      </c>
    </row>
    <row r="57" spans="9:12" ht="20.100000000000001" customHeight="1">
      <c r="I57" s="8">
        <f t="shared" si="0"/>
        <v>165600</v>
      </c>
      <c r="J57" s="24">
        <f t="shared" si="2"/>
        <v>0.5</v>
      </c>
      <c r="K57" s="22">
        <f t="shared" si="2"/>
        <v>0.49879518072289114</v>
      </c>
    </row>
    <row r="58" spans="9:12" ht="20.100000000000001" customHeight="1">
      <c r="I58" s="8">
        <f t="shared" si="0"/>
        <v>169200</v>
      </c>
      <c r="J58" s="24">
        <f t="shared" si="2"/>
        <v>0.5</v>
      </c>
      <c r="K58" s="22">
        <f t="shared" si="2"/>
        <v>0.5</v>
      </c>
    </row>
    <row r="59" spans="9:12" ht="20.100000000000001" customHeight="1">
      <c r="I59" s="8">
        <f t="shared" si="0"/>
        <v>172800</v>
      </c>
      <c r="J59" s="24">
        <f t="shared" si="2"/>
        <v>0.5</v>
      </c>
      <c r="K59" s="22">
        <f t="shared" si="2"/>
        <v>0.5</v>
      </c>
      <c r="L59" s="3"/>
    </row>
    <row r="60" spans="9:12" ht="20.100000000000001" customHeight="1">
      <c r="I60" s="8">
        <f>$I$11+($I$61-$I$11)/(ROW($I$61)-ROW($I$11))*(ROW($I60)-ROW($I$11))</f>
        <v>176400</v>
      </c>
      <c r="J60" s="24">
        <f t="shared" si="2"/>
        <v>0.5</v>
      </c>
      <c r="K60" s="22">
        <f t="shared" si="2"/>
        <v>0.5</v>
      </c>
    </row>
    <row r="61" spans="9:12" ht="20.100000000000001" customHeight="1">
      <c r="I61" s="9">
        <f>$D$20</f>
        <v>180000</v>
      </c>
      <c r="J61" s="24">
        <f t="shared" si="2"/>
        <v>0.5</v>
      </c>
      <c r="K61" s="22">
        <f t="shared" si="2"/>
        <v>0.5</v>
      </c>
    </row>
    <row r="62" spans="9:12" ht="20.100000000000001" customHeight="1">
      <c r="I62" s="1"/>
    </row>
  </sheetData>
  <mergeCells count="2">
    <mergeCell ref="B1:G1"/>
    <mergeCell ref="B20:C20"/>
  </mergeCells>
  <conditionalFormatting sqref="B3:G5">
    <cfRule type="expression" dxfId="9" priority="4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2"/>
  <sheetViews>
    <sheetView workbookViewId="0" xr3:uid="{9B253EF2-77E0-53E3-AE26-4D66ECD923F3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26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105</v>
      </c>
      <c r="D3" s="10">
        <v>1</v>
      </c>
      <c r="E3" s="14">
        <v>0.5</v>
      </c>
      <c r="F3" s="10">
        <v>100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>&gt;</v>
      </c>
      <c r="B4" s="5">
        <v>106</v>
      </c>
      <c r="C4" s="5">
        <v>115</v>
      </c>
      <c r="D4" s="10">
        <v>1</v>
      </c>
      <c r="E4" s="14">
        <v>0.5</v>
      </c>
      <c r="F4" s="10">
        <f>8750/3</f>
        <v>2916.6666666666665</v>
      </c>
      <c r="G4" s="7">
        <f>-880250/3</f>
        <v>-293416.66666666669</v>
      </c>
      <c r="I4" s="27" t="s">
        <v>11</v>
      </c>
      <c r="J4" s="28">
        <f>SUMPRODUCT(($A$3:$A$99="&gt;")*($F$3:$F$99))*$J$1+SUMPRODUCT(($A$3:$A$99="&gt;")*($G$3:$G$99))+J$8</f>
        <v>41999.999999999942</v>
      </c>
      <c r="K4" s="18">
        <f>SUMPRODUCT(($A$3:$A$99="&gt;")*($F$3:$F$99))*$J$1+SUMPRODUCT(($A$3:$A$99="&gt;")*($G$3:$G$99))+K$8</f>
        <v>41999.999999999942</v>
      </c>
    </row>
    <row r="5" spans="1:11" ht="20.100000000000001" customHeight="1">
      <c r="A5" s="3"/>
      <c r="I5" s="27" t="s">
        <v>5</v>
      </c>
      <c r="J5" s="29">
        <f>SUMPRODUCT(($A$3:$A$99="&gt;")*($D$3:$D$99))</f>
        <v>1</v>
      </c>
      <c r="K5" s="19">
        <f>$J5</f>
        <v>1</v>
      </c>
    </row>
    <row r="6" spans="1:11" ht="20.100000000000001" customHeight="1">
      <c r="A6" s="3"/>
      <c r="I6" s="27" t="s">
        <v>6</v>
      </c>
      <c r="J6" s="30">
        <f>SUMPRODUCT(($A$3:$A$99="&gt;")*($E$3:$E$99))</f>
        <v>0.5</v>
      </c>
      <c r="K6" s="20">
        <f>$J6</f>
        <v>0.5</v>
      </c>
    </row>
    <row r="7" spans="1:11" ht="20.100000000000001" customHeight="1">
      <c r="A7" s="3"/>
      <c r="I7" s="27" t="s">
        <v>12</v>
      </c>
      <c r="J7" s="31" t="s">
        <v>23</v>
      </c>
      <c r="K7" s="26" t="str">
        <f>$J7</f>
        <v>N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1780</v>
      </c>
      <c r="J12" s="24">
        <f t="shared" ref="J12:K43" si="1">IFERROR(IF((J$5+1)/(J$5+($J$4/($I12-J$8)))*J$6&lt;=IF(J$7&lt;&gt;"N",J$6,999),IF((J$5+1)/(J$5+($J$4/($I12-J$8)))*J$6&gt;=0,(J$5+1)/(J$5+($J$4/($I12-J$8)))*J$6,0),J$6),0)</f>
        <v>4.0657834627683929E-2</v>
      </c>
      <c r="K12" s="22">
        <f t="shared" si="1"/>
        <v>4.0657834627683929E-2</v>
      </c>
    </row>
    <row r="13" spans="1:11" ht="20.100000000000001" customHeight="1">
      <c r="I13" s="8">
        <f t="shared" si="0"/>
        <v>3560</v>
      </c>
      <c r="J13" s="24">
        <f t="shared" si="1"/>
        <v>7.8138718173836802E-2</v>
      </c>
      <c r="K13" s="22">
        <f t="shared" si="1"/>
        <v>7.8138718173836802E-2</v>
      </c>
    </row>
    <row r="14" spans="1:11" ht="20.100000000000001" customHeight="1">
      <c r="I14" s="8">
        <f t="shared" si="0"/>
        <v>5340</v>
      </c>
      <c r="J14" s="24">
        <f t="shared" si="1"/>
        <v>0.11280101394169847</v>
      </c>
      <c r="K14" s="22">
        <f t="shared" si="1"/>
        <v>0.11280101394169847</v>
      </c>
    </row>
    <row r="15" spans="1:11" ht="20.100000000000001" customHeight="1">
      <c r="I15" s="8">
        <f t="shared" si="0"/>
        <v>7120</v>
      </c>
      <c r="J15" s="24">
        <f t="shared" si="1"/>
        <v>0.14495114006514676</v>
      </c>
      <c r="K15" s="22">
        <f t="shared" si="1"/>
        <v>0.14495114006514676</v>
      </c>
    </row>
    <row r="16" spans="1:11" ht="20.100000000000001" customHeight="1">
      <c r="I16" s="8">
        <f t="shared" si="0"/>
        <v>8900</v>
      </c>
      <c r="J16" s="24">
        <f t="shared" si="1"/>
        <v>0.17485265225933222</v>
      </c>
      <c r="K16" s="22">
        <f t="shared" si="1"/>
        <v>0.17485265225933222</v>
      </c>
    </row>
    <row r="17" spans="2:11" ht="20.100000000000001" customHeight="1">
      <c r="I17" s="8">
        <f t="shared" si="0"/>
        <v>10680</v>
      </c>
      <c r="J17" s="24">
        <f t="shared" si="1"/>
        <v>0.20273348519362208</v>
      </c>
      <c r="K17" s="22">
        <f t="shared" si="1"/>
        <v>0.20273348519362208</v>
      </c>
    </row>
    <row r="18" spans="2:11" ht="20.100000000000001" customHeight="1">
      <c r="B18" s="11"/>
      <c r="I18" s="8">
        <f t="shared" si="0"/>
        <v>12460</v>
      </c>
      <c r="J18" s="24">
        <f t="shared" si="1"/>
        <v>0.22879177377892057</v>
      </c>
      <c r="K18" s="22">
        <f t="shared" si="1"/>
        <v>0.22879177377892057</v>
      </c>
    </row>
    <row r="19" spans="2:11" ht="20.100000000000001" customHeight="1">
      <c r="B19" s="42" t="s">
        <v>18</v>
      </c>
      <c r="C19" s="43"/>
      <c r="D19" s="16">
        <f>ROUNDUP($J$4*2*1.05,-LEN(TEXT($J$4*2*1.05,"0"))+2)</f>
        <v>89000</v>
      </c>
      <c r="I19" s="8">
        <f t="shared" si="0"/>
        <v>14240</v>
      </c>
      <c r="J19" s="24">
        <f t="shared" si="1"/>
        <v>0.25320056899004295</v>
      </c>
      <c r="K19" s="22">
        <f t="shared" si="1"/>
        <v>0.25320056899004295</v>
      </c>
    </row>
    <row r="20" spans="2:11" ht="20.100000000000001" customHeight="1">
      <c r="I20" s="8">
        <f t="shared" si="0"/>
        <v>16020</v>
      </c>
      <c r="J20" s="24">
        <f t="shared" si="1"/>
        <v>0.27611168562564664</v>
      </c>
      <c r="K20" s="22">
        <f t="shared" si="1"/>
        <v>0.27611168562564664</v>
      </c>
    </row>
    <row r="21" spans="2:11" ht="20.100000000000001" customHeight="1">
      <c r="I21" s="8">
        <f t="shared" si="0"/>
        <v>17800</v>
      </c>
      <c r="J21" s="24">
        <f t="shared" si="1"/>
        <v>0.29765886287625448</v>
      </c>
      <c r="K21" s="22">
        <f t="shared" si="1"/>
        <v>0.29765886287625448</v>
      </c>
    </row>
    <row r="22" spans="2:11" ht="20.100000000000001" customHeight="1">
      <c r="I22" s="8">
        <f t="shared" si="0"/>
        <v>19580</v>
      </c>
      <c r="J22" s="24">
        <f t="shared" si="1"/>
        <v>0.31796037674569699</v>
      </c>
      <c r="K22" s="22">
        <f t="shared" si="1"/>
        <v>0.31796037674569699</v>
      </c>
    </row>
    <row r="23" spans="2:11" ht="20.100000000000001" customHeight="1">
      <c r="I23" s="8">
        <f t="shared" si="0"/>
        <v>21360</v>
      </c>
      <c r="J23" s="24">
        <f t="shared" si="1"/>
        <v>0.33712121212121243</v>
      </c>
      <c r="K23" s="22">
        <f t="shared" si="1"/>
        <v>0.33712121212121243</v>
      </c>
    </row>
    <row r="24" spans="2:11" ht="20.100000000000001" customHeight="1">
      <c r="I24" s="8">
        <f t="shared" si="0"/>
        <v>23140</v>
      </c>
      <c r="J24" s="24">
        <f t="shared" si="1"/>
        <v>0.35523487872275133</v>
      </c>
      <c r="K24" s="22">
        <f t="shared" si="1"/>
        <v>0.35523487872275133</v>
      </c>
    </row>
    <row r="25" spans="2:11" ht="20.100000000000001" customHeight="1">
      <c r="B25"/>
      <c r="I25" s="8">
        <f t="shared" si="0"/>
        <v>24920</v>
      </c>
      <c r="J25" s="24">
        <f t="shared" si="1"/>
        <v>0.37238493723849408</v>
      </c>
      <c r="K25" s="22">
        <f t="shared" si="1"/>
        <v>0.37238493723849408</v>
      </c>
    </row>
    <row r="26" spans="2:11" ht="20.100000000000001" customHeight="1">
      <c r="I26" s="8">
        <f t="shared" si="0"/>
        <v>26700</v>
      </c>
      <c r="J26" s="24">
        <f t="shared" si="1"/>
        <v>0.38864628820960734</v>
      </c>
      <c r="K26" s="22">
        <f t="shared" si="1"/>
        <v>0.38864628820960734</v>
      </c>
    </row>
    <row r="27" spans="2:11" ht="20.100000000000001" customHeight="1">
      <c r="I27" s="8">
        <f t="shared" si="0"/>
        <v>28480</v>
      </c>
      <c r="J27" s="24">
        <f t="shared" si="1"/>
        <v>0.40408626560726479</v>
      </c>
      <c r="K27" s="22">
        <f t="shared" si="1"/>
        <v>0.40408626560726479</v>
      </c>
    </row>
    <row r="28" spans="2:11" ht="20.100000000000001" customHeight="1">
      <c r="I28" s="8">
        <f t="shared" si="0"/>
        <v>30260</v>
      </c>
      <c r="J28" s="24">
        <f t="shared" si="1"/>
        <v>0.41876556877940802</v>
      </c>
      <c r="K28" s="22">
        <f t="shared" si="1"/>
        <v>0.41876556877940802</v>
      </c>
    </row>
    <row r="29" spans="2:11" ht="20.100000000000001" customHeight="1">
      <c r="I29" s="8">
        <f t="shared" si="0"/>
        <v>32040</v>
      </c>
      <c r="J29" s="24">
        <f t="shared" si="1"/>
        <v>0.43273905996758538</v>
      </c>
      <c r="K29" s="22">
        <f t="shared" si="1"/>
        <v>0.43273905996758538</v>
      </c>
    </row>
    <row r="30" spans="2:11" ht="20.100000000000001" customHeight="1">
      <c r="I30" s="8">
        <f t="shared" si="0"/>
        <v>33820</v>
      </c>
      <c r="J30" s="24">
        <f t="shared" si="1"/>
        <v>0.44605644948562417</v>
      </c>
      <c r="K30" s="22">
        <f t="shared" si="1"/>
        <v>0.44605644948562417</v>
      </c>
    </row>
    <row r="31" spans="2:11" ht="20.100000000000001" customHeight="1">
      <c r="I31" s="8">
        <f t="shared" si="0"/>
        <v>35600</v>
      </c>
      <c r="J31" s="24">
        <f t="shared" si="1"/>
        <v>0.4587628865979384</v>
      </c>
      <c r="K31" s="22">
        <f t="shared" si="1"/>
        <v>0.4587628865979384</v>
      </c>
    </row>
    <row r="32" spans="2:11" ht="20.100000000000001" customHeight="1">
      <c r="I32" s="8">
        <f t="shared" si="0"/>
        <v>37380</v>
      </c>
      <c r="J32" s="24">
        <f t="shared" si="1"/>
        <v>0.47089947089947126</v>
      </c>
      <c r="K32" s="22">
        <f t="shared" si="1"/>
        <v>0.47089947089947126</v>
      </c>
    </row>
    <row r="33" spans="9:11" ht="20.100000000000001" customHeight="1">
      <c r="I33" s="8">
        <f t="shared" si="0"/>
        <v>39160</v>
      </c>
      <c r="J33" s="24">
        <f t="shared" si="1"/>
        <v>0.48250369640216895</v>
      </c>
      <c r="K33" s="22">
        <f t="shared" si="1"/>
        <v>0.48250369640216895</v>
      </c>
    </row>
    <row r="34" spans="9:11" ht="20.100000000000001" customHeight="1">
      <c r="I34" s="8">
        <f t="shared" si="0"/>
        <v>40940</v>
      </c>
      <c r="J34" s="24">
        <f t="shared" si="1"/>
        <v>0.49360983843742501</v>
      </c>
      <c r="K34" s="22">
        <f t="shared" si="1"/>
        <v>0.49360983843742501</v>
      </c>
    </row>
    <row r="35" spans="9:11" ht="20.100000000000001" customHeight="1">
      <c r="I35" s="8">
        <f t="shared" si="0"/>
        <v>42720</v>
      </c>
      <c r="J35" s="24">
        <f t="shared" si="1"/>
        <v>0.5042492917847029</v>
      </c>
      <c r="K35" s="22">
        <f t="shared" si="1"/>
        <v>0.5042492917847029</v>
      </c>
    </row>
    <row r="36" spans="9:11" ht="20.100000000000001" customHeight="1">
      <c r="I36" s="8">
        <f t="shared" si="0"/>
        <v>44500</v>
      </c>
      <c r="J36" s="24">
        <f t="shared" si="1"/>
        <v>0.51445086705202347</v>
      </c>
      <c r="K36" s="22">
        <f t="shared" si="1"/>
        <v>0.51445086705202347</v>
      </c>
    </row>
    <row r="37" spans="9:11" ht="20.100000000000001" customHeight="1">
      <c r="I37" s="8">
        <f t="shared" si="0"/>
        <v>46280</v>
      </c>
      <c r="J37" s="24">
        <f t="shared" si="1"/>
        <v>0.52424105120072528</v>
      </c>
      <c r="K37" s="22">
        <f t="shared" si="1"/>
        <v>0.52424105120072528</v>
      </c>
    </row>
    <row r="38" spans="9:11" ht="20.100000000000001" customHeight="1">
      <c r="I38" s="8">
        <f t="shared" si="0"/>
        <v>48060</v>
      </c>
      <c r="J38" s="24">
        <f t="shared" si="1"/>
        <v>0.53364423717521692</v>
      </c>
      <c r="K38" s="22">
        <f t="shared" si="1"/>
        <v>0.53364423717521692</v>
      </c>
    </row>
    <row r="39" spans="9:11" ht="20.100000000000001" customHeight="1">
      <c r="I39" s="8">
        <f t="shared" si="0"/>
        <v>49840</v>
      </c>
      <c r="J39" s="24">
        <f t="shared" si="1"/>
        <v>0.54268292682926866</v>
      </c>
      <c r="K39" s="22">
        <f t="shared" si="1"/>
        <v>0.54268292682926866</v>
      </c>
    </row>
    <row r="40" spans="9:11" ht="20.100000000000001" customHeight="1">
      <c r="I40" s="8">
        <f t="shared" si="0"/>
        <v>51620</v>
      </c>
      <c r="J40" s="24">
        <f t="shared" si="1"/>
        <v>0.55137791070284159</v>
      </c>
      <c r="K40" s="22">
        <f t="shared" si="1"/>
        <v>0.55137791070284159</v>
      </c>
    </row>
    <row r="41" spans="9:11" ht="20.100000000000001" customHeight="1">
      <c r="I41" s="8">
        <f t="shared" si="0"/>
        <v>53400</v>
      </c>
      <c r="J41" s="24">
        <f t="shared" si="1"/>
        <v>0.55974842767295629</v>
      </c>
      <c r="K41" s="22">
        <f t="shared" si="1"/>
        <v>0.55974842767295629</v>
      </c>
    </row>
    <row r="42" spans="9:11" ht="20.100000000000001" customHeight="1">
      <c r="I42" s="8">
        <f t="shared" si="0"/>
        <v>55180</v>
      </c>
      <c r="J42" s="24">
        <f t="shared" si="1"/>
        <v>0.56781230705906593</v>
      </c>
      <c r="K42" s="22">
        <f t="shared" si="1"/>
        <v>0.56781230705906593</v>
      </c>
    </row>
    <row r="43" spans="9:11" ht="20.100000000000001" customHeight="1">
      <c r="I43" s="8">
        <f t="shared" si="0"/>
        <v>56960</v>
      </c>
      <c r="J43" s="24">
        <f t="shared" si="1"/>
        <v>0.57558609539207795</v>
      </c>
      <c r="K43" s="22">
        <f t="shared" si="1"/>
        <v>0.57558609539207795</v>
      </c>
    </row>
    <row r="44" spans="9:11" ht="20.100000000000001" customHeight="1">
      <c r="I44" s="8">
        <f t="shared" si="0"/>
        <v>58740</v>
      </c>
      <c r="J44" s="24">
        <f t="shared" ref="J44:K61" si="2">IFERROR(IF((J$5+1)/(J$5+($J$4/($I44-J$8)))*J$6&lt;=IF(J$7&lt;&gt;"N",J$6,999),IF((J$5+1)/(J$5+($J$4/($I44-J$8)))*J$6&gt;=0,(J$5+1)/(J$5+($J$4/($I44-J$8)))*J$6,0),J$6),0)</f>
        <v>0.58308516974389557</v>
      </c>
      <c r="K44" s="22">
        <f t="shared" si="2"/>
        <v>0.58308516974389557</v>
      </c>
    </row>
    <row r="45" spans="9:11" ht="20.100000000000001" customHeight="1">
      <c r="I45" s="8">
        <f t="shared" si="0"/>
        <v>60520</v>
      </c>
      <c r="J45" s="24">
        <f t="shared" si="2"/>
        <v>0.59032383925087817</v>
      </c>
      <c r="K45" s="22">
        <f t="shared" si="2"/>
        <v>0.59032383925087817</v>
      </c>
    </row>
    <row r="46" spans="9:11" ht="20.100000000000001" customHeight="1">
      <c r="I46" s="8">
        <f t="shared" si="0"/>
        <v>62300</v>
      </c>
      <c r="J46" s="24">
        <f t="shared" si="2"/>
        <v>0.5973154362416111</v>
      </c>
      <c r="K46" s="22">
        <f t="shared" si="2"/>
        <v>0.5973154362416111</v>
      </c>
    </row>
    <row r="47" spans="9:11" ht="20.100000000000001" customHeight="1">
      <c r="I47" s="8">
        <f t="shared" si="0"/>
        <v>64080</v>
      </c>
      <c r="J47" s="24">
        <f t="shared" si="2"/>
        <v>0.60407239819004555</v>
      </c>
      <c r="K47" s="22">
        <f t="shared" si="2"/>
        <v>0.60407239819004555</v>
      </c>
    </row>
    <row r="48" spans="9:11" ht="20.100000000000001" customHeight="1">
      <c r="I48" s="8">
        <f t="shared" si="0"/>
        <v>65860</v>
      </c>
      <c r="J48" s="24">
        <f t="shared" si="2"/>
        <v>0.61060634155386651</v>
      </c>
      <c r="K48" s="22">
        <f t="shared" si="2"/>
        <v>0.61060634155386651</v>
      </c>
    </row>
    <row r="49" spans="9:11" ht="20.100000000000001" customHeight="1">
      <c r="I49" s="8">
        <f t="shared" si="0"/>
        <v>67640</v>
      </c>
      <c r="J49" s="24">
        <f t="shared" si="2"/>
        <v>0.61692812842028488</v>
      </c>
      <c r="K49" s="22">
        <f t="shared" si="2"/>
        <v>0.61692812842028488</v>
      </c>
    </row>
    <row r="50" spans="9:11" ht="20.100000000000001" customHeight="1">
      <c r="I50" s="8">
        <f t="shared" si="0"/>
        <v>69420</v>
      </c>
      <c r="J50" s="24">
        <f t="shared" si="2"/>
        <v>0.62304792676359755</v>
      </c>
      <c r="K50" s="22">
        <f t="shared" si="2"/>
        <v>0.62304792676359755</v>
      </c>
    </row>
    <row r="51" spans="9:11" ht="20.100000000000001" customHeight="1">
      <c r="I51" s="8">
        <f t="shared" si="0"/>
        <v>71200</v>
      </c>
      <c r="J51" s="24">
        <f t="shared" si="2"/>
        <v>0.62897526501766809</v>
      </c>
      <c r="K51" s="22">
        <f t="shared" si="2"/>
        <v>0.62897526501766809</v>
      </c>
    </row>
    <row r="52" spans="9:11" ht="20.100000000000001" customHeight="1">
      <c r="I52" s="8">
        <f t="shared" si="0"/>
        <v>72980</v>
      </c>
      <c r="J52" s="24">
        <f t="shared" si="2"/>
        <v>0.63471908157940538</v>
      </c>
      <c r="K52" s="22">
        <f t="shared" si="2"/>
        <v>0.63471908157940538</v>
      </c>
    </row>
    <row r="53" spans="9:11" ht="20.100000000000001" customHeight="1">
      <c r="I53" s="8">
        <f t="shared" si="0"/>
        <v>74760</v>
      </c>
      <c r="J53" s="24">
        <f t="shared" si="2"/>
        <v>0.64028776978417301</v>
      </c>
      <c r="K53" s="22">
        <f t="shared" si="2"/>
        <v>0.64028776978417301</v>
      </c>
    </row>
    <row r="54" spans="9:11" ht="20.100000000000001" customHeight="1">
      <c r="I54" s="8">
        <f t="shared" si="0"/>
        <v>76540</v>
      </c>
      <c r="J54" s="24">
        <f t="shared" si="2"/>
        <v>0.64568921882908747</v>
      </c>
      <c r="K54" s="22">
        <f t="shared" si="2"/>
        <v>0.64568921882908747</v>
      </c>
    </row>
    <row r="55" spans="9:11" ht="20.100000000000001" customHeight="1">
      <c r="I55" s="8">
        <f t="shared" si="0"/>
        <v>78320</v>
      </c>
      <c r="J55" s="24">
        <f t="shared" si="2"/>
        <v>0.6509308510638302</v>
      </c>
      <c r="K55" s="22">
        <f t="shared" si="2"/>
        <v>0.6509308510638302</v>
      </c>
    </row>
    <row r="56" spans="9:11" ht="20.100000000000001" customHeight="1">
      <c r="I56" s="8">
        <f t="shared" si="0"/>
        <v>80100</v>
      </c>
      <c r="J56" s="24">
        <f t="shared" si="2"/>
        <v>0.65601965601965628</v>
      </c>
      <c r="K56" s="22">
        <f t="shared" si="2"/>
        <v>0.65601965601965628</v>
      </c>
    </row>
    <row r="57" spans="9:11" ht="20.100000000000001" customHeight="1">
      <c r="I57" s="8">
        <f t="shared" si="0"/>
        <v>81880</v>
      </c>
      <c r="J57" s="24">
        <f t="shared" si="2"/>
        <v>0.66096222150468231</v>
      </c>
      <c r="K57" s="22">
        <f t="shared" si="2"/>
        <v>0.66096222150468231</v>
      </c>
    </row>
    <row r="58" spans="9:11" ht="20.100000000000001" customHeight="1">
      <c r="I58" s="8">
        <f t="shared" si="0"/>
        <v>83660</v>
      </c>
      <c r="J58" s="24">
        <f t="shared" si="2"/>
        <v>0.66576476205634283</v>
      </c>
      <c r="K58" s="22">
        <f t="shared" si="2"/>
        <v>0.66576476205634283</v>
      </c>
    </row>
    <row r="59" spans="9:11" ht="20.100000000000001" customHeight="1">
      <c r="I59" s="8">
        <f t="shared" si="0"/>
        <v>85440</v>
      </c>
      <c r="J59" s="24">
        <f t="shared" si="2"/>
        <v>0.67043314500941653</v>
      </c>
      <c r="K59" s="22">
        <f t="shared" si="2"/>
        <v>0.67043314500941653</v>
      </c>
    </row>
    <row r="60" spans="9:11" ht="20.100000000000001" customHeight="1">
      <c r="I60" s="8">
        <f>$I$11+($I$61-$I$11)/(ROW($I$61)-ROW($I$11))*(ROW($I60)-ROW($I$11))</f>
        <v>87220</v>
      </c>
      <c r="J60" s="24">
        <f t="shared" si="2"/>
        <v>0.67497291440953444</v>
      </c>
      <c r="K60" s="22">
        <f t="shared" si="2"/>
        <v>0.67497291440953444</v>
      </c>
    </row>
    <row r="61" spans="9:11" ht="20.100000000000001" customHeight="1">
      <c r="I61" s="9">
        <f>$D$19</f>
        <v>89000</v>
      </c>
      <c r="J61" s="24">
        <f t="shared" si="2"/>
        <v>0.67938931297709948</v>
      </c>
      <c r="K61" s="22">
        <f t="shared" si="2"/>
        <v>0.67938931297709948</v>
      </c>
    </row>
    <row r="62" spans="9:11" ht="20.100000000000001" customHeight="1">
      <c r="I62" s="1"/>
    </row>
  </sheetData>
  <mergeCells count="2">
    <mergeCell ref="B1:G1"/>
    <mergeCell ref="B19:C19"/>
  </mergeCells>
  <conditionalFormatting sqref="B3:G4">
    <cfRule type="expression" dxfId="8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2"/>
  <sheetViews>
    <sheetView workbookViewId="0" xr3:uid="{85D5C41F-068E-5C55-9968-509E7C2A5619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1" ht="20.100000000000001" customHeight="1">
      <c r="B1" s="39" t="s">
        <v>27</v>
      </c>
      <c r="C1" s="40"/>
      <c r="D1" s="40"/>
      <c r="E1" s="40"/>
      <c r="F1" s="40"/>
      <c r="G1" s="41"/>
      <c r="I1" s="12" t="s">
        <v>1</v>
      </c>
      <c r="J1" s="13">
        <f>OffenceDmg!$J$1</f>
        <v>115</v>
      </c>
      <c r="K1" s="38" t="s">
        <v>20</v>
      </c>
    </row>
    <row r="2" spans="1:11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1" ht="20.100000000000001" customHeight="1">
      <c r="A3" s="3" t="str">
        <f>IF(AND($J$1&gt;=$B3,$J$1&lt;=$C3),"&gt;","")</f>
        <v/>
      </c>
      <c r="B3" s="5">
        <v>1</v>
      </c>
      <c r="C3" s="5">
        <v>50</v>
      </c>
      <c r="D3" s="10">
        <v>1</v>
      </c>
      <c r="E3" s="14">
        <v>0.15</v>
      </c>
      <c r="F3" s="10">
        <v>72</v>
      </c>
      <c r="G3" s="7"/>
      <c r="J3" s="34" t="s">
        <v>9</v>
      </c>
      <c r="K3" s="17" t="s">
        <v>10</v>
      </c>
    </row>
    <row r="4" spans="1:11" ht="20.100000000000001" customHeight="1">
      <c r="A4" s="3" t="str">
        <f>IF(AND($J$1&gt;=$B4,$J$1&lt;=$C4),"&gt;","")</f>
        <v/>
      </c>
      <c r="B4" s="5">
        <v>51</v>
      </c>
      <c r="C4" s="5">
        <v>104</v>
      </c>
      <c r="D4" s="10">
        <v>1</v>
      </c>
      <c r="E4" s="14">
        <v>0.25</v>
      </c>
      <c r="F4" s="10">
        <v>243</v>
      </c>
      <c r="G4" s="7">
        <v>-8550</v>
      </c>
      <c r="I4" s="27" t="s">
        <v>11</v>
      </c>
      <c r="J4" s="28">
        <f>SUMPRODUCT(($A$3:$A$99="&gt;")*($F$3:$F$99))*$J$1+SUMPRODUCT(($A$3:$A$99="&gt;")*($G$3:$G$99))+J$8</f>
        <v>68000.000000000058</v>
      </c>
      <c r="K4" s="18">
        <f>SUMPRODUCT(($A$3:$A$99="&gt;")*($F$3:$F$99))*$J$1+SUMPRODUCT(($A$3:$A$99="&gt;")*($G$3:$G$99))+K$8</f>
        <v>68000.000000000058</v>
      </c>
    </row>
    <row r="5" spans="1:11" ht="20.100000000000001" customHeight="1">
      <c r="A5" s="3" t="str">
        <f>IF(AND($J$1&gt;=$B5,$J$1&lt;=$C5),"&gt;","")</f>
        <v/>
      </c>
      <c r="B5" s="5">
        <v>105</v>
      </c>
      <c r="C5" s="5">
        <v>105</v>
      </c>
      <c r="D5" s="10">
        <v>1</v>
      </c>
      <c r="E5" s="14">
        <v>0.25</v>
      </c>
      <c r="F5" s="10">
        <f>3400/21</f>
        <v>161.9047619047619</v>
      </c>
      <c r="G5" s="7"/>
      <c r="I5" s="27" t="s">
        <v>5</v>
      </c>
      <c r="J5" s="29">
        <f>SUMPRODUCT(($A$3:$A$99="&gt;")*($D$3:$D$99))</f>
        <v>1</v>
      </c>
      <c r="K5" s="19">
        <f>$J5</f>
        <v>1</v>
      </c>
    </row>
    <row r="6" spans="1:11" ht="20.100000000000001" customHeight="1">
      <c r="A6" s="3" t="str">
        <f>IF(AND($J$1&gt;=$B6,$J$1&lt;=$C6),"&gt;","")</f>
        <v>&gt;</v>
      </c>
      <c r="B6" s="5">
        <v>106</v>
      </c>
      <c r="C6" s="5">
        <v>115</v>
      </c>
      <c r="D6" s="10">
        <v>1</v>
      </c>
      <c r="E6" s="14">
        <v>0.25</v>
      </c>
      <c r="F6" s="10">
        <f>42500/9</f>
        <v>4722.2222222222226</v>
      </c>
      <c r="G6" s="7">
        <f>-4275500/9</f>
        <v>-475055.55555555556</v>
      </c>
      <c r="I6" s="27" t="s">
        <v>6</v>
      </c>
      <c r="J6" s="30">
        <f>SUMPRODUCT(($A$3:$A$99="&gt;")*($E$3:$E$99))</f>
        <v>0.25</v>
      </c>
      <c r="K6" s="20">
        <f>$J6</f>
        <v>0.25</v>
      </c>
    </row>
    <row r="7" spans="1:11" ht="20.100000000000001" customHeight="1">
      <c r="I7" s="27" t="s">
        <v>12</v>
      </c>
      <c r="J7" s="31" t="s">
        <v>13</v>
      </c>
      <c r="K7" s="26" t="str">
        <f>$J7</f>
        <v>Y</v>
      </c>
    </row>
    <row r="8" spans="1:11" ht="20.100000000000001" customHeight="1">
      <c r="I8" s="32" t="s">
        <v>14</v>
      </c>
      <c r="J8" s="33">
        <v>0</v>
      </c>
      <c r="K8" s="21">
        <v>0</v>
      </c>
    </row>
    <row r="9" spans="1:11" ht="20.100000000000001" customHeight="1">
      <c r="K9" s="1"/>
    </row>
    <row r="10" spans="1:11" ht="20.100000000000001" customHeight="1">
      <c r="I10" s="4" t="s">
        <v>15</v>
      </c>
      <c r="J10" s="23" t="s">
        <v>16</v>
      </c>
      <c r="K10" s="25" t="s">
        <v>17</v>
      </c>
    </row>
    <row r="11" spans="1:11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</row>
    <row r="12" spans="1:11" ht="20.100000000000001" customHeight="1">
      <c r="I12" s="8">
        <f t="shared" ref="I12:I59" si="0">$I$11+($I$61-$I$11)/(ROW($I$61)-ROW($I$11))*(ROW($I12)-ROW($I$11))</f>
        <v>1440</v>
      </c>
      <c r="J12" s="24">
        <f t="shared" ref="J12:K43" si="1">IFERROR(IF((J$5+1)/(J$5+($J$4/($I12-J$8)))*J$6&lt;=IF(J$7&lt;&gt;"N",J$6,999),IF((J$5+1)/(J$5+($J$4/($I12-J$8)))*J$6&gt;=0,(J$5+1)/(J$5+($J$4/($I12-J$8)))*J$6,0),J$6),0)</f>
        <v>1.0368663594470038E-2</v>
      </c>
      <c r="K12" s="22">
        <f t="shared" si="1"/>
        <v>1.0368663594470038E-2</v>
      </c>
    </row>
    <row r="13" spans="1:11" ht="20.100000000000001" customHeight="1">
      <c r="I13" s="8">
        <f t="shared" si="0"/>
        <v>2880</v>
      </c>
      <c r="J13" s="24">
        <f t="shared" si="1"/>
        <v>2.03160270880361E-2</v>
      </c>
      <c r="K13" s="22">
        <f t="shared" si="1"/>
        <v>2.03160270880361E-2</v>
      </c>
    </row>
    <row r="14" spans="1:11" ht="20.100000000000001" customHeight="1">
      <c r="I14" s="8">
        <f t="shared" si="0"/>
        <v>4320</v>
      </c>
      <c r="J14" s="24">
        <f t="shared" si="1"/>
        <v>2.9867256637168115E-2</v>
      </c>
      <c r="K14" s="22">
        <f t="shared" si="1"/>
        <v>2.9867256637168115E-2</v>
      </c>
    </row>
    <row r="15" spans="1:11" ht="20.100000000000001" customHeight="1">
      <c r="I15" s="8">
        <f t="shared" si="0"/>
        <v>5760</v>
      </c>
      <c r="J15" s="24">
        <f t="shared" si="1"/>
        <v>3.9045553145336191E-2</v>
      </c>
      <c r="K15" s="22">
        <f t="shared" si="1"/>
        <v>3.9045553145336191E-2</v>
      </c>
    </row>
    <row r="16" spans="1:11" ht="20.100000000000001" customHeight="1">
      <c r="I16" s="8">
        <f t="shared" si="0"/>
        <v>7200</v>
      </c>
      <c r="J16" s="24">
        <f t="shared" si="1"/>
        <v>4.787234042553188E-2</v>
      </c>
      <c r="K16" s="22">
        <f t="shared" si="1"/>
        <v>4.787234042553188E-2</v>
      </c>
    </row>
    <row r="17" spans="2:11" ht="20.100000000000001" customHeight="1">
      <c r="I17" s="8">
        <f t="shared" si="0"/>
        <v>8640</v>
      </c>
      <c r="J17" s="24">
        <f t="shared" si="1"/>
        <v>5.6367432150313111E-2</v>
      </c>
      <c r="K17" s="22">
        <f t="shared" si="1"/>
        <v>5.6367432150313111E-2</v>
      </c>
    </row>
    <row r="18" spans="2:11" ht="20.100000000000001" customHeight="1">
      <c r="I18" s="8">
        <f t="shared" si="0"/>
        <v>10080</v>
      </c>
      <c r="J18" s="24">
        <f t="shared" si="1"/>
        <v>6.4549180327868813E-2</v>
      </c>
      <c r="K18" s="22">
        <f t="shared" si="1"/>
        <v>6.4549180327868813E-2</v>
      </c>
    </row>
    <row r="19" spans="2:11" ht="20.100000000000001" customHeight="1">
      <c r="I19" s="8">
        <f t="shared" si="0"/>
        <v>11520</v>
      </c>
      <c r="J19" s="24">
        <f t="shared" si="1"/>
        <v>7.2434607645875199E-2</v>
      </c>
      <c r="K19" s="22">
        <f t="shared" si="1"/>
        <v>7.2434607645875199E-2</v>
      </c>
    </row>
    <row r="20" spans="2:11" ht="20.100000000000001" customHeight="1">
      <c r="B20" s="11"/>
      <c r="I20" s="8">
        <f t="shared" si="0"/>
        <v>12960</v>
      </c>
      <c r="J20" s="24">
        <f t="shared" si="1"/>
        <v>8.0039525691699545E-2</v>
      </c>
      <c r="K20" s="22">
        <f t="shared" si="1"/>
        <v>8.0039525691699545E-2</v>
      </c>
    </row>
    <row r="21" spans="2:11" ht="20.100000000000001" customHeight="1">
      <c r="B21" s="42" t="s">
        <v>18</v>
      </c>
      <c r="C21" s="43"/>
      <c r="D21" s="16">
        <f>ROUNDUP($J$4*1.05,-LEN(TEXT($J$4*1.05,"0"))+2)</f>
        <v>72000</v>
      </c>
      <c r="I21" s="8">
        <f t="shared" si="0"/>
        <v>14400</v>
      </c>
      <c r="J21" s="24">
        <f t="shared" si="1"/>
        <v>8.7378640776698976E-2</v>
      </c>
      <c r="K21" s="22">
        <f t="shared" si="1"/>
        <v>8.7378640776698976E-2</v>
      </c>
    </row>
    <row r="22" spans="2:11" ht="20.100000000000001" customHeight="1">
      <c r="I22" s="8">
        <f t="shared" si="0"/>
        <v>15840</v>
      </c>
      <c r="J22" s="24">
        <f t="shared" si="1"/>
        <v>9.4465648854961767E-2</v>
      </c>
      <c r="K22" s="22">
        <f t="shared" si="1"/>
        <v>9.4465648854961767E-2</v>
      </c>
    </row>
    <row r="23" spans="2:11" ht="20.100000000000001" customHeight="1">
      <c r="I23" s="8">
        <f t="shared" si="0"/>
        <v>17280</v>
      </c>
      <c r="J23" s="24">
        <f t="shared" si="1"/>
        <v>0.10131332082551588</v>
      </c>
      <c r="K23" s="22">
        <f t="shared" si="1"/>
        <v>0.10131332082551588</v>
      </c>
    </row>
    <row r="24" spans="2:11" ht="20.100000000000001" customHeight="1">
      <c r="I24" s="8">
        <f t="shared" si="0"/>
        <v>18720</v>
      </c>
      <c r="J24" s="24">
        <f t="shared" si="1"/>
        <v>0.10793357933579328</v>
      </c>
      <c r="K24" s="22">
        <f t="shared" si="1"/>
        <v>0.10793357933579328</v>
      </c>
    </row>
    <row r="25" spans="2:11" ht="20.100000000000001" customHeight="1">
      <c r="I25" s="8">
        <f t="shared" si="0"/>
        <v>20160</v>
      </c>
      <c r="J25" s="24">
        <f t="shared" si="1"/>
        <v>0.11433756805807617</v>
      </c>
      <c r="K25" s="22">
        <f t="shared" si="1"/>
        <v>0.11433756805807617</v>
      </c>
    </row>
    <row r="26" spans="2:11" ht="20.100000000000001" customHeight="1">
      <c r="I26" s="8">
        <f t="shared" si="0"/>
        <v>21600</v>
      </c>
      <c r="J26" s="24">
        <f t="shared" si="1"/>
        <v>0.12053571428571422</v>
      </c>
      <c r="K26" s="22">
        <f t="shared" si="1"/>
        <v>0.12053571428571422</v>
      </c>
    </row>
    <row r="27" spans="2:11" ht="20.100000000000001" customHeight="1">
      <c r="B27"/>
      <c r="I27" s="8">
        <f t="shared" si="0"/>
        <v>23040</v>
      </c>
      <c r="J27" s="24">
        <f t="shared" si="1"/>
        <v>0.12653778558875212</v>
      </c>
      <c r="K27" s="22">
        <f t="shared" si="1"/>
        <v>0.12653778558875212</v>
      </c>
    </row>
    <row r="28" spans="2:11" ht="20.100000000000001" customHeight="1">
      <c r="I28" s="8">
        <f t="shared" si="0"/>
        <v>24480</v>
      </c>
      <c r="J28" s="24">
        <f t="shared" si="1"/>
        <v>0.13235294117647051</v>
      </c>
      <c r="K28" s="22">
        <f t="shared" si="1"/>
        <v>0.13235294117647051</v>
      </c>
    </row>
    <row r="29" spans="2:11" ht="20.100000000000001" customHeight="1">
      <c r="I29" s="8">
        <f t="shared" si="0"/>
        <v>25920</v>
      </c>
      <c r="J29" s="24">
        <f t="shared" si="1"/>
        <v>0.13798977853492325</v>
      </c>
      <c r="K29" s="22">
        <f t="shared" si="1"/>
        <v>0.13798977853492325</v>
      </c>
    </row>
    <row r="30" spans="2:11" ht="20.100000000000001" customHeight="1">
      <c r="I30" s="8">
        <f t="shared" si="0"/>
        <v>27360</v>
      </c>
      <c r="J30" s="24">
        <f t="shared" si="1"/>
        <v>0.14345637583892609</v>
      </c>
      <c r="K30" s="22">
        <f t="shared" si="1"/>
        <v>0.14345637583892609</v>
      </c>
    </row>
    <row r="31" spans="2:11" ht="20.100000000000001" customHeight="1">
      <c r="I31" s="8">
        <f t="shared" si="0"/>
        <v>28800</v>
      </c>
      <c r="J31" s="24">
        <f t="shared" si="1"/>
        <v>0.14876033057851232</v>
      </c>
      <c r="K31" s="22">
        <f t="shared" si="1"/>
        <v>0.14876033057851232</v>
      </c>
    </row>
    <row r="32" spans="2:11" ht="20.100000000000001" customHeight="1">
      <c r="I32" s="8">
        <f t="shared" si="0"/>
        <v>30240</v>
      </c>
      <c r="J32" s="24">
        <f t="shared" si="1"/>
        <v>0.15390879478827352</v>
      </c>
      <c r="K32" s="22">
        <f t="shared" si="1"/>
        <v>0.15390879478827352</v>
      </c>
    </row>
    <row r="33" spans="9:11" ht="20.100000000000001" customHeight="1">
      <c r="I33" s="8">
        <f t="shared" si="0"/>
        <v>31680</v>
      </c>
      <c r="J33" s="24">
        <f t="shared" si="1"/>
        <v>0.15890850722311387</v>
      </c>
      <c r="K33" s="22">
        <f t="shared" si="1"/>
        <v>0.15890850722311387</v>
      </c>
    </row>
    <row r="34" spans="9:11" ht="20.100000000000001" customHeight="1">
      <c r="I34" s="8">
        <f t="shared" si="0"/>
        <v>33120</v>
      </c>
      <c r="J34" s="24">
        <f t="shared" si="1"/>
        <v>0.16376582278481006</v>
      </c>
      <c r="K34" s="22">
        <f t="shared" si="1"/>
        <v>0.16376582278481006</v>
      </c>
    </row>
    <row r="35" spans="9:11" ht="20.100000000000001" customHeight="1">
      <c r="I35" s="8">
        <f t="shared" si="0"/>
        <v>34560</v>
      </c>
      <c r="J35" s="24">
        <f t="shared" si="1"/>
        <v>0.16848673946957868</v>
      </c>
      <c r="K35" s="22">
        <f t="shared" si="1"/>
        <v>0.16848673946957868</v>
      </c>
    </row>
    <row r="36" spans="9:11" ht="20.100000000000001" customHeight="1">
      <c r="I36" s="8">
        <f t="shared" si="0"/>
        <v>36000</v>
      </c>
      <c r="J36" s="24">
        <f t="shared" si="1"/>
        <v>0.17307692307692296</v>
      </c>
      <c r="K36" s="22">
        <f t="shared" si="1"/>
        <v>0.17307692307692296</v>
      </c>
    </row>
    <row r="37" spans="9:11" ht="20.100000000000001" customHeight="1">
      <c r="I37" s="8">
        <f t="shared" si="0"/>
        <v>37440</v>
      </c>
      <c r="J37" s="24">
        <f t="shared" si="1"/>
        <v>0.17754172989377837</v>
      </c>
      <c r="K37" s="22">
        <f t="shared" si="1"/>
        <v>0.17754172989377837</v>
      </c>
    </row>
    <row r="38" spans="9:11" ht="20.100000000000001" customHeight="1">
      <c r="I38" s="8">
        <f t="shared" si="0"/>
        <v>38880</v>
      </c>
      <c r="J38" s="24">
        <f t="shared" si="1"/>
        <v>0.1818862275449101</v>
      </c>
      <c r="K38" s="22">
        <f t="shared" si="1"/>
        <v>0.1818862275449101</v>
      </c>
    </row>
    <row r="39" spans="9:11" ht="20.100000000000001" customHeight="1">
      <c r="I39" s="8">
        <f t="shared" si="0"/>
        <v>40320</v>
      </c>
      <c r="J39" s="24">
        <f t="shared" si="1"/>
        <v>0.18611521418020671</v>
      </c>
      <c r="K39" s="22">
        <f t="shared" si="1"/>
        <v>0.18611521418020671</v>
      </c>
    </row>
    <row r="40" spans="9:11" ht="20.100000000000001" customHeight="1">
      <c r="I40" s="8">
        <f t="shared" si="0"/>
        <v>41760</v>
      </c>
      <c r="J40" s="24">
        <f t="shared" si="1"/>
        <v>0.1902332361516034</v>
      </c>
      <c r="K40" s="22">
        <f t="shared" si="1"/>
        <v>0.1902332361516034</v>
      </c>
    </row>
    <row r="41" spans="9:11" ht="20.100000000000001" customHeight="1">
      <c r="I41" s="8">
        <f t="shared" si="0"/>
        <v>43200</v>
      </c>
      <c r="J41" s="24">
        <f t="shared" si="1"/>
        <v>0.19424460431654667</v>
      </c>
      <c r="K41" s="22">
        <f t="shared" si="1"/>
        <v>0.19424460431654667</v>
      </c>
    </row>
    <row r="42" spans="9:11" ht="20.100000000000001" customHeight="1">
      <c r="I42" s="8">
        <f t="shared" si="0"/>
        <v>44640</v>
      </c>
      <c r="J42" s="24">
        <f t="shared" si="1"/>
        <v>0.19815340909090898</v>
      </c>
      <c r="K42" s="22">
        <f t="shared" si="1"/>
        <v>0.19815340909090898</v>
      </c>
    </row>
    <row r="43" spans="9:11" ht="20.100000000000001" customHeight="1">
      <c r="I43" s="8">
        <f t="shared" si="0"/>
        <v>46080</v>
      </c>
      <c r="J43" s="24">
        <f t="shared" si="1"/>
        <v>0.20196353436185124</v>
      </c>
      <c r="K43" s="22">
        <f t="shared" si="1"/>
        <v>0.20196353436185124</v>
      </c>
    </row>
    <row r="44" spans="9:11" ht="20.100000000000001" customHeight="1">
      <c r="I44" s="8">
        <f t="shared" si="0"/>
        <v>47520</v>
      </c>
      <c r="J44" s="24">
        <f t="shared" ref="J44:K61" si="2">IFERROR(IF((J$5+1)/(J$5+($J$4/($I44-J$8)))*J$6&lt;=IF(J$7&lt;&gt;"N",J$6,999),IF((J$5+1)/(J$5+($J$4/($I44-J$8)))*J$6&gt;=0,(J$5+1)/(J$5+($J$4/($I44-J$8)))*J$6,0),J$6),0)</f>
        <v>0.2056786703601107</v>
      </c>
      <c r="K44" s="22">
        <f t="shared" si="2"/>
        <v>0.2056786703601107</v>
      </c>
    </row>
    <row r="45" spans="9:11" ht="20.100000000000001" customHeight="1">
      <c r="I45" s="8">
        <f t="shared" si="0"/>
        <v>48960</v>
      </c>
      <c r="J45" s="24">
        <f t="shared" si="2"/>
        <v>0.20930232558139525</v>
      </c>
      <c r="K45" s="22">
        <f t="shared" si="2"/>
        <v>0.20930232558139525</v>
      </c>
    </row>
    <row r="46" spans="9:11" ht="20.100000000000001" customHeight="1">
      <c r="I46" s="8">
        <f t="shared" si="0"/>
        <v>50400</v>
      </c>
      <c r="J46" s="24">
        <f t="shared" si="2"/>
        <v>0.21283783783783772</v>
      </c>
      <c r="K46" s="22">
        <f t="shared" si="2"/>
        <v>0.21283783783783772</v>
      </c>
    </row>
    <row r="47" spans="9:11" ht="20.100000000000001" customHeight="1">
      <c r="I47" s="8">
        <f t="shared" si="0"/>
        <v>51840</v>
      </c>
      <c r="J47" s="24">
        <f t="shared" si="2"/>
        <v>0.21628838451268348</v>
      </c>
      <c r="K47" s="22">
        <f t="shared" si="2"/>
        <v>0.21628838451268348</v>
      </c>
    </row>
    <row r="48" spans="9:11" ht="20.100000000000001" customHeight="1">
      <c r="I48" s="8">
        <f t="shared" si="0"/>
        <v>53280</v>
      </c>
      <c r="J48" s="24">
        <f t="shared" si="2"/>
        <v>0.2196569920844326</v>
      </c>
      <c r="K48" s="22">
        <f t="shared" si="2"/>
        <v>0.2196569920844326</v>
      </c>
    </row>
    <row r="49" spans="9:11" ht="20.100000000000001" customHeight="1">
      <c r="I49" s="8">
        <f t="shared" si="0"/>
        <v>54720</v>
      </c>
      <c r="J49" s="24">
        <f t="shared" si="2"/>
        <v>0.22294654498044317</v>
      </c>
      <c r="K49" s="22">
        <f t="shared" si="2"/>
        <v>0.22294654498044317</v>
      </c>
    </row>
    <row r="50" spans="9:11" ht="20.100000000000001" customHeight="1">
      <c r="I50" s="8">
        <f t="shared" si="0"/>
        <v>56160</v>
      </c>
      <c r="J50" s="24">
        <f t="shared" si="2"/>
        <v>0.22615979381443291</v>
      </c>
      <c r="K50" s="22">
        <f t="shared" si="2"/>
        <v>0.22615979381443291</v>
      </c>
    </row>
    <row r="51" spans="9:11" ht="20.100000000000001" customHeight="1">
      <c r="I51" s="8">
        <f t="shared" si="0"/>
        <v>57600</v>
      </c>
      <c r="J51" s="24">
        <f t="shared" si="2"/>
        <v>0.22929936305732476</v>
      </c>
      <c r="K51" s="22">
        <f t="shared" si="2"/>
        <v>0.22929936305732476</v>
      </c>
    </row>
    <row r="52" spans="9:11" ht="20.100000000000001" customHeight="1">
      <c r="I52" s="8">
        <f t="shared" si="0"/>
        <v>59040</v>
      </c>
      <c r="J52" s="24">
        <f t="shared" si="2"/>
        <v>0.2323677581863979</v>
      </c>
      <c r="K52" s="22">
        <f t="shared" si="2"/>
        <v>0.2323677581863979</v>
      </c>
    </row>
    <row r="53" spans="9:11" ht="20.100000000000001" customHeight="1">
      <c r="I53" s="8">
        <f t="shared" si="0"/>
        <v>60480</v>
      </c>
      <c r="J53" s="24">
        <f t="shared" si="2"/>
        <v>0.23536737235367364</v>
      </c>
      <c r="K53" s="22">
        <f t="shared" si="2"/>
        <v>0.23536737235367364</v>
      </c>
    </row>
    <row r="54" spans="9:11" ht="20.100000000000001" customHeight="1">
      <c r="I54" s="8">
        <f t="shared" si="0"/>
        <v>61920</v>
      </c>
      <c r="J54" s="24">
        <f t="shared" si="2"/>
        <v>0.23830049261083736</v>
      </c>
      <c r="K54" s="22">
        <f t="shared" si="2"/>
        <v>0.23830049261083736</v>
      </c>
    </row>
    <row r="55" spans="9:11" ht="20.100000000000001" customHeight="1">
      <c r="I55" s="8">
        <f t="shared" si="0"/>
        <v>63360</v>
      </c>
      <c r="J55" s="24">
        <f t="shared" si="2"/>
        <v>0.24116930572472581</v>
      </c>
      <c r="K55" s="22">
        <f t="shared" si="2"/>
        <v>0.24116930572472581</v>
      </c>
    </row>
    <row r="56" spans="9:11" ht="20.100000000000001" customHeight="1">
      <c r="I56" s="8">
        <f t="shared" si="0"/>
        <v>64800</v>
      </c>
      <c r="J56" s="24">
        <f t="shared" si="2"/>
        <v>0.2439759036144577</v>
      </c>
      <c r="K56" s="22">
        <f t="shared" si="2"/>
        <v>0.2439759036144577</v>
      </c>
    </row>
    <row r="57" spans="9:11" ht="20.100000000000001" customHeight="1">
      <c r="I57" s="8">
        <f t="shared" si="0"/>
        <v>66240</v>
      </c>
      <c r="J57" s="24">
        <f t="shared" si="2"/>
        <v>0.24672228843861732</v>
      </c>
      <c r="K57" s="22">
        <f t="shared" si="2"/>
        <v>0.24672228843861732</v>
      </c>
    </row>
    <row r="58" spans="9:11" ht="20.100000000000001" customHeight="1">
      <c r="I58" s="8">
        <f t="shared" si="0"/>
        <v>67680</v>
      </c>
      <c r="J58" s="24">
        <f t="shared" si="2"/>
        <v>0.24941037735849042</v>
      </c>
      <c r="K58" s="22">
        <f t="shared" si="2"/>
        <v>0.24941037735849042</v>
      </c>
    </row>
    <row r="59" spans="9:11" ht="20.100000000000001" customHeight="1">
      <c r="I59" s="8">
        <f t="shared" si="0"/>
        <v>69120</v>
      </c>
      <c r="J59" s="24">
        <f t="shared" si="2"/>
        <v>0.25</v>
      </c>
      <c r="K59" s="22">
        <f t="shared" si="2"/>
        <v>0.25</v>
      </c>
    </row>
    <row r="60" spans="9:11" ht="20.100000000000001" customHeight="1">
      <c r="I60" s="8">
        <f>$I$11+($I$61-$I$11)/(ROW($I$61)-ROW($I$11))*(ROW($I60)-ROW($I$11))</f>
        <v>70560</v>
      </c>
      <c r="J60" s="24">
        <f t="shared" si="2"/>
        <v>0.25</v>
      </c>
      <c r="K60" s="22">
        <f t="shared" si="2"/>
        <v>0.25</v>
      </c>
    </row>
    <row r="61" spans="9:11" ht="20.100000000000001" customHeight="1">
      <c r="I61" s="9">
        <f>$D$21</f>
        <v>72000</v>
      </c>
      <c r="J61" s="24">
        <f t="shared" si="2"/>
        <v>0.25</v>
      </c>
      <c r="K61" s="22">
        <f t="shared" si="2"/>
        <v>0.25</v>
      </c>
    </row>
    <row r="62" spans="9:11" ht="20.100000000000001" customHeight="1">
      <c r="I62" s="1"/>
    </row>
  </sheetData>
  <mergeCells count="2">
    <mergeCell ref="B1:G1"/>
    <mergeCell ref="B21:C21"/>
  </mergeCells>
  <conditionalFormatting sqref="B3:G6">
    <cfRule type="expression" dxfId="7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2"/>
  <sheetViews>
    <sheetView workbookViewId="0" xr3:uid="{44B22561-5205-5C8A-B808-2C70100D228F}">
      <selection activeCell="K1" sqref="K1"/>
    </sheetView>
  </sheetViews>
  <sheetFormatPr defaultColWidth="11.5703125" defaultRowHeight="20.100000000000001" customHeight="1"/>
  <cols>
    <col min="1" max="1" width="11.5703125" style="1"/>
    <col min="2" max="3" width="9.5703125" style="2" customWidth="1"/>
    <col min="4" max="4" width="12.5703125" style="2" customWidth="1"/>
    <col min="5" max="5" width="9.5703125" style="2" customWidth="1"/>
    <col min="6" max="7" width="12.5703125" style="2" customWidth="1"/>
    <col min="8" max="8" width="12.5703125" style="1" customWidth="1"/>
    <col min="9" max="11" width="15.5703125" style="3" customWidth="1"/>
    <col min="12" max="16" width="11.5703125" style="1"/>
    <col min="17" max="17" width="15" style="1" bestFit="1" customWidth="1"/>
    <col min="18" max="16384" width="11.5703125" style="1"/>
  </cols>
  <sheetData>
    <row r="1" spans="1:12" ht="20.100000000000001" customHeight="1">
      <c r="B1" s="44" t="s">
        <v>28</v>
      </c>
      <c r="C1" s="45"/>
      <c r="D1" s="45"/>
      <c r="E1" s="45"/>
      <c r="F1" s="45"/>
      <c r="G1" s="46"/>
      <c r="I1" s="12" t="s">
        <v>1</v>
      </c>
      <c r="J1" s="13">
        <f>OffenceDmg!$J$1</f>
        <v>115</v>
      </c>
      <c r="K1" s="38" t="s">
        <v>20</v>
      </c>
    </row>
    <row r="2" spans="1:12" ht="20.100000000000001" customHeight="1"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12" ht="20.100000000000001" customHeight="1">
      <c r="A3" s="3" t="str">
        <f>IF(AND($J$1&gt;=$B3,$J$1&lt;=$C3),"&gt;","")</f>
        <v/>
      </c>
      <c r="B3" s="5">
        <v>1</v>
      </c>
      <c r="C3" s="5">
        <v>20</v>
      </c>
      <c r="D3" s="10">
        <v>2</v>
      </c>
      <c r="E3" s="14">
        <v>0.13</v>
      </c>
      <c r="F3" s="10">
        <v>115</v>
      </c>
      <c r="G3" s="7"/>
      <c r="J3" s="34" t="s">
        <v>9</v>
      </c>
      <c r="K3" s="17" t="s">
        <v>10</v>
      </c>
    </row>
    <row r="4" spans="1:12" ht="20.100000000000001" customHeight="1">
      <c r="A4" s="3" t="str">
        <f>IF(AND($J$1&gt;=$B4,$J$1&lt;=$C4),"&gt;","")</f>
        <v/>
      </c>
      <c r="B4" s="5">
        <v>21</v>
      </c>
      <c r="C4" s="5">
        <v>50</v>
      </c>
      <c r="D4" s="10">
        <v>2</v>
      </c>
      <c r="E4" s="14">
        <v>0.13</v>
      </c>
      <c r="F4" s="10">
        <v>90</v>
      </c>
      <c r="G4" s="7">
        <v>500</v>
      </c>
      <c r="I4" s="27" t="s">
        <v>11</v>
      </c>
      <c r="J4" s="28">
        <f>SUMPRODUCT(($A$3:$A$99="&gt;")*($F$3:$F$99))*$J$1+SUMPRODUCT(($A$3:$A$99="&gt;")*($G$3:$G$99))+J$8</f>
        <v>64000</v>
      </c>
      <c r="K4" s="18">
        <f>SUMPRODUCT(($A$3:$A$99="&gt;")*($F$3:$F$99))*$J$1+SUMPRODUCT(($A$3:$A$99="&gt;")*($G$3:$G$99))+K$8</f>
        <v>68600</v>
      </c>
    </row>
    <row r="5" spans="1:12" ht="20.100000000000001" customHeight="1">
      <c r="A5" s="3" t="str">
        <f>IF(AND($J$1&gt;=$B5,$J$1&lt;=$C5),"&gt;","")</f>
        <v/>
      </c>
      <c r="B5" s="5">
        <v>51</v>
      </c>
      <c r="C5" s="5">
        <v>105</v>
      </c>
      <c r="D5" s="10">
        <v>2</v>
      </c>
      <c r="E5" s="14">
        <v>0.13</v>
      </c>
      <c r="F5" s="10">
        <v>200</v>
      </c>
      <c r="G5" s="7">
        <v>-5000</v>
      </c>
      <c r="I5" s="27" t="s">
        <v>5</v>
      </c>
      <c r="J5" s="29">
        <f>SUMPRODUCT(($A$3:$A$99="&gt;")*($D$3:$D$99))</f>
        <v>2</v>
      </c>
      <c r="K5" s="19">
        <f>$J5</f>
        <v>2</v>
      </c>
    </row>
    <row r="6" spans="1:12" ht="20.100000000000001" customHeight="1">
      <c r="A6" s="3" t="str">
        <f>IF(AND($J$1&gt;=$B6,$J$1&lt;=$C6),"&gt;","")</f>
        <v>&gt;</v>
      </c>
      <c r="B6" s="5">
        <v>106</v>
      </c>
      <c r="C6" s="5">
        <v>115</v>
      </c>
      <c r="D6" s="10">
        <v>2</v>
      </c>
      <c r="E6" s="14">
        <v>0.13</v>
      </c>
      <c r="F6" s="10">
        <f>40000/9</f>
        <v>4444.4444444444443</v>
      </c>
      <c r="G6" s="7">
        <f>-4024000/9</f>
        <v>-447111.11111111112</v>
      </c>
      <c r="I6" s="27" t="s">
        <v>6</v>
      </c>
      <c r="J6" s="30">
        <f>SUMPRODUCT(($A$3:$A$99="&gt;")*($E$3:$E$99))</f>
        <v>0.13</v>
      </c>
      <c r="K6" s="20">
        <f>$J6</f>
        <v>0.13</v>
      </c>
    </row>
    <row r="7" spans="1:12" ht="20.100000000000001" customHeight="1">
      <c r="I7" s="27" t="s">
        <v>12</v>
      </c>
      <c r="J7" s="31" t="s">
        <v>13</v>
      </c>
      <c r="K7" s="26" t="str">
        <f>$J7</f>
        <v>Y</v>
      </c>
    </row>
    <row r="8" spans="1:12" ht="20.100000000000001" customHeight="1">
      <c r="I8" s="32" t="s">
        <v>14</v>
      </c>
      <c r="J8" s="33">
        <v>0</v>
      </c>
      <c r="K8" s="21">
        <f>$J$1*40</f>
        <v>4600</v>
      </c>
    </row>
    <row r="9" spans="1:12" ht="20.100000000000001" customHeight="1">
      <c r="K9" s="1"/>
    </row>
    <row r="10" spans="1:12" ht="20.100000000000001" customHeight="1">
      <c r="I10" s="4" t="s">
        <v>15</v>
      </c>
      <c r="J10" s="23" t="s">
        <v>16</v>
      </c>
      <c r="K10" s="25" t="s">
        <v>17</v>
      </c>
    </row>
    <row r="11" spans="1:12" ht="20.100000000000001" customHeight="1">
      <c r="I11" s="8">
        <v>0</v>
      </c>
      <c r="J11" s="24">
        <f>IFERROR(IF((J$5+1)/(J$5+($J$4/($I11-J$8)))*J$6&lt;=IF(J$7&lt;&gt;"N",J$6,999),IF((J$5+1)/(J$5+($J$4/($I11-J$8)))*J$6&gt;=0,(J$5+1)/(J$5+($J$4/($I11-J$8)))*J$6,0),J$6),0)</f>
        <v>0</v>
      </c>
      <c r="K11" s="22">
        <f>IFERROR(IF((K$5+1)/(K$5+($J$4/($I11-K$8)))*K$6&lt;=IF(K$7&lt;&gt;"N",K$6,999),IF((K$5+1)/(K$5+($J$4/($I11-K$8)))*K$6&gt;=0,(K$5+1)/(K$5+($J$4/($I11-K$8)))*K$6,0),K$6),0)</f>
        <v>0</v>
      </c>
      <c r="L11" s="35"/>
    </row>
    <row r="12" spans="1:12" ht="20.100000000000001" customHeight="1">
      <c r="I12" s="8">
        <f t="shared" ref="I12:I59" si="0">$I$11+($I$61-$I$11)/(ROW($I$61)-ROW($I$11))*(ROW($I12)-ROW($I$11))</f>
        <v>1460</v>
      </c>
      <c r="J12" s="24">
        <f t="shared" ref="J12:K43" si="1">IFERROR(IF((J$5+1)/(J$5+($J$4/($I12-J$8)))*J$6&lt;=IF(J$7&lt;&gt;"N",J$6,999),IF((J$5+1)/(J$5+($J$4/($I12-J$8)))*J$6&gt;=0,(J$5+1)/(J$5+($J$4/($I12-J$8)))*J$6,0),J$6),0)</f>
        <v>8.5086670651524209E-3</v>
      </c>
      <c r="K12" s="22">
        <f t="shared" si="1"/>
        <v>0</v>
      </c>
      <c r="L12" s="35"/>
    </row>
    <row r="13" spans="1:12" ht="20.100000000000001" customHeight="1">
      <c r="I13" s="8">
        <f t="shared" si="0"/>
        <v>2920</v>
      </c>
      <c r="J13" s="24">
        <f t="shared" si="1"/>
        <v>1.6305841924398625E-2</v>
      </c>
      <c r="K13" s="22">
        <f t="shared" si="1"/>
        <v>0</v>
      </c>
      <c r="L13" s="35"/>
    </row>
    <row r="14" spans="1:12" ht="20.100000000000001" customHeight="1">
      <c r="I14" s="8">
        <f t="shared" si="0"/>
        <v>4380</v>
      </c>
      <c r="J14" s="24">
        <f t="shared" si="1"/>
        <v>2.3477185266630021E-2</v>
      </c>
      <c r="K14" s="22">
        <f t="shared" si="1"/>
        <v>0</v>
      </c>
      <c r="L14" s="35"/>
    </row>
    <row r="15" spans="1:12" ht="20.100000000000001" customHeight="1">
      <c r="I15" s="8">
        <f t="shared" si="0"/>
        <v>5840</v>
      </c>
      <c r="J15" s="24">
        <f t="shared" si="1"/>
        <v>3.0095137420718818E-2</v>
      </c>
      <c r="K15" s="22">
        <f t="shared" si="1"/>
        <v>7.2743682310469323E-3</v>
      </c>
      <c r="L15" s="35"/>
    </row>
    <row r="16" spans="1:12" ht="20.100000000000001" customHeight="1">
      <c r="I16" s="8">
        <f t="shared" si="0"/>
        <v>7300</v>
      </c>
      <c r="J16" s="24">
        <f t="shared" si="1"/>
        <v>3.622137404580153E-2</v>
      </c>
      <c r="K16" s="22">
        <f t="shared" si="1"/>
        <v>1.5172910662824208E-2</v>
      </c>
      <c r="L16" s="35"/>
    </row>
    <row r="17" spans="2:12" ht="20.100000000000001" customHeight="1">
      <c r="I17" s="8">
        <f t="shared" si="0"/>
        <v>8760</v>
      </c>
      <c r="J17" s="24">
        <f t="shared" si="1"/>
        <v>4.1908734052993134E-2</v>
      </c>
      <c r="K17" s="22">
        <f t="shared" si="1"/>
        <v>2.2433628318584069E-2</v>
      </c>
      <c r="L17" s="35"/>
    </row>
    <row r="18" spans="2:12" ht="20.100000000000001" customHeight="1">
      <c r="I18" s="8">
        <f t="shared" si="0"/>
        <v>10220</v>
      </c>
      <c r="J18" s="24">
        <f t="shared" si="1"/>
        <v>4.7202747513027006E-2</v>
      </c>
      <c r="K18" s="22">
        <f t="shared" si="1"/>
        <v>2.9130781499202552E-2</v>
      </c>
      <c r="L18" s="35"/>
    </row>
    <row r="19" spans="2:12" ht="20.100000000000001" customHeight="1">
      <c r="I19" s="8">
        <f t="shared" si="0"/>
        <v>11680</v>
      </c>
      <c r="J19" s="24">
        <f t="shared" si="1"/>
        <v>5.2142857142857144E-2</v>
      </c>
      <c r="K19" s="22">
        <f t="shared" si="1"/>
        <v>3.5327533265097237E-2</v>
      </c>
      <c r="L19" s="35"/>
    </row>
    <row r="20" spans="2:12" ht="20.100000000000001" customHeight="1">
      <c r="B20" s="11"/>
      <c r="I20" s="8">
        <f t="shared" si="0"/>
        <v>13140</v>
      </c>
      <c r="J20" s="24">
        <f t="shared" si="1"/>
        <v>5.6763402747009306E-2</v>
      </c>
      <c r="K20" s="22">
        <f t="shared" si="1"/>
        <v>4.1077947705969405E-2</v>
      </c>
      <c r="L20" s="35"/>
    </row>
    <row r="21" spans="2:12" ht="20.100000000000001" customHeight="1">
      <c r="B21" s="42" t="s">
        <v>18</v>
      </c>
      <c r="C21" s="43"/>
      <c r="D21" s="16">
        <f>ROUNDUP(MAX($J$4:$K$4)*1.05,-LEN(TEXT(MAX($J$4:$K$4)*1.05,"0"))+2)</f>
        <v>73000</v>
      </c>
      <c r="I21" s="8">
        <f t="shared" si="0"/>
        <v>14600</v>
      </c>
      <c r="J21" s="24">
        <f t="shared" si="1"/>
        <v>6.1094420600858373E-2</v>
      </c>
      <c r="K21" s="22">
        <f t="shared" si="1"/>
        <v>4.642857142857143E-2</v>
      </c>
      <c r="L21" s="35"/>
    </row>
    <row r="22" spans="2:12" ht="20.100000000000001" customHeight="1">
      <c r="I22" s="8">
        <f t="shared" si="0"/>
        <v>16060</v>
      </c>
      <c r="J22" s="24">
        <f t="shared" si="1"/>
        <v>6.5162297128589272E-2</v>
      </c>
      <c r="K22" s="22">
        <f t="shared" si="1"/>
        <v>5.1419696272434423E-2</v>
      </c>
      <c r="L22" s="35"/>
    </row>
    <row r="23" spans="2:12" ht="20.100000000000001" customHeight="1">
      <c r="I23" s="8">
        <f t="shared" si="0"/>
        <v>17520</v>
      </c>
      <c r="J23" s="24">
        <f t="shared" si="1"/>
        <v>6.8990306946688201E-2</v>
      </c>
      <c r="K23" s="22">
        <f t="shared" si="1"/>
        <v>5.6086375779162957E-2</v>
      </c>
      <c r="L23" s="35"/>
    </row>
    <row r="24" spans="2:12" ht="20.100000000000001" customHeight="1">
      <c r="I24" s="8">
        <f t="shared" si="0"/>
        <v>18980</v>
      </c>
      <c r="J24" s="24">
        <f t="shared" si="1"/>
        <v>7.2599058454295817E-2</v>
      </c>
      <c r="K24" s="22">
        <f t="shared" si="1"/>
        <v>6.0459249676584739E-2</v>
      </c>
      <c r="L24" s="35"/>
    </row>
    <row r="25" spans="2:12" ht="20.100000000000001" customHeight="1">
      <c r="I25" s="8">
        <f t="shared" si="0"/>
        <v>20440</v>
      </c>
      <c r="J25" s="24">
        <f t="shared" si="1"/>
        <v>7.6006864988558367E-2</v>
      </c>
      <c r="K25" s="22">
        <f t="shared" si="1"/>
        <v>6.4565217391304344E-2</v>
      </c>
      <c r="L25" s="35"/>
    </row>
    <row r="26" spans="2:12" ht="20.100000000000001" customHeight="1">
      <c r="I26" s="8">
        <f t="shared" si="0"/>
        <v>21900</v>
      </c>
      <c r="J26" s="24">
        <f t="shared" si="1"/>
        <v>7.9230055658627091E-2</v>
      </c>
      <c r="K26" s="22">
        <f t="shared" si="1"/>
        <v>6.8427991886409745E-2</v>
      </c>
      <c r="L26" s="35"/>
    </row>
    <row r="27" spans="2:12" ht="20.100000000000001" customHeight="1">
      <c r="B27"/>
      <c r="I27" s="8">
        <f t="shared" si="0"/>
        <v>23360</v>
      </c>
      <c r="J27" s="24">
        <f t="shared" si="1"/>
        <v>8.2283236994219661E-2</v>
      </c>
      <c r="K27" s="22">
        <f t="shared" si="1"/>
        <v>7.2068557919621745E-2</v>
      </c>
      <c r="L27" s="35"/>
    </row>
    <row r="28" spans="2:12" ht="20.100000000000001" customHeight="1">
      <c r="I28" s="8">
        <f t="shared" si="0"/>
        <v>24820</v>
      </c>
      <c r="J28" s="24">
        <f t="shared" si="1"/>
        <v>8.5179514255543834E-2</v>
      </c>
      <c r="K28" s="22">
        <f t="shared" si="1"/>
        <v>7.5505553427805433E-2</v>
      </c>
      <c r="L28" s="35"/>
    </row>
    <row r="29" spans="2:12" ht="20.100000000000001" customHeight="1">
      <c r="I29" s="8">
        <f t="shared" si="0"/>
        <v>26280</v>
      </c>
      <c r="J29" s="24">
        <f t="shared" si="1"/>
        <v>8.7930679478380236E-2</v>
      </c>
      <c r="K29" s="22">
        <f t="shared" si="1"/>
        <v>7.8755588673621466E-2</v>
      </c>
      <c r="L29" s="35"/>
    </row>
    <row r="30" spans="2:12" ht="20.100000000000001" customHeight="1">
      <c r="I30" s="8">
        <f t="shared" si="0"/>
        <v>27740</v>
      </c>
      <c r="J30" s="24">
        <f t="shared" si="1"/>
        <v>9.054737194509542E-2</v>
      </c>
      <c r="K30" s="22">
        <f t="shared" si="1"/>
        <v>8.1833514689880302E-2</v>
      </c>
      <c r="L30" s="35"/>
    </row>
    <row r="31" spans="2:12" ht="20.100000000000001" customHeight="1">
      <c r="I31" s="8">
        <f t="shared" si="0"/>
        <v>29200</v>
      </c>
      <c r="J31" s="24">
        <f t="shared" si="1"/>
        <v>9.3039215686274518E-2</v>
      </c>
      <c r="K31" s="22">
        <f t="shared" si="1"/>
        <v>8.4752650176678448E-2</v>
      </c>
      <c r="L31" s="35"/>
    </row>
    <row r="32" spans="2:12" ht="20.100000000000001" customHeight="1">
      <c r="I32" s="8">
        <f t="shared" si="0"/>
        <v>30660</v>
      </c>
      <c r="J32" s="24">
        <f t="shared" si="1"/>
        <v>9.5414937759336113E-2</v>
      </c>
      <c r="K32" s="22">
        <f t="shared" si="1"/>
        <v>8.7524974164657265E-2</v>
      </c>
      <c r="L32" s="35"/>
    </row>
    <row r="33" spans="9:12" ht="20.100000000000001" customHeight="1">
      <c r="I33" s="8">
        <f t="shared" si="0"/>
        <v>32120</v>
      </c>
      <c r="J33" s="24">
        <f t="shared" si="1"/>
        <v>9.7682470368059895E-2</v>
      </c>
      <c r="K33" s="22">
        <f t="shared" si="1"/>
        <v>9.0161290322580634E-2</v>
      </c>
      <c r="L33" s="35"/>
    </row>
    <row r="34" spans="9:12" ht="20.100000000000001" customHeight="1">
      <c r="I34" s="8">
        <f t="shared" si="0"/>
        <v>33580</v>
      </c>
      <c r="J34" s="24">
        <f t="shared" si="1"/>
        <v>9.9849039341262588E-2</v>
      </c>
      <c r="K34" s="22">
        <f t="shared" si="1"/>
        <v>9.2671367661528364E-2</v>
      </c>
      <c r="L34" s="35"/>
    </row>
    <row r="35" spans="9:12" ht="20.100000000000001" customHeight="1">
      <c r="I35" s="8">
        <f t="shared" si="0"/>
        <v>35040</v>
      </c>
      <c r="J35" s="24">
        <f t="shared" si="1"/>
        <v>0.10192124105011933</v>
      </c>
      <c r="K35" s="22">
        <f t="shared" si="1"/>
        <v>9.5064061499039079E-2</v>
      </c>
      <c r="L35" s="35"/>
    </row>
    <row r="36" spans="9:12" ht="20.100000000000001" customHeight="1">
      <c r="I36" s="8">
        <f t="shared" si="0"/>
        <v>36500</v>
      </c>
      <c r="J36" s="24">
        <f t="shared" si="1"/>
        <v>0.1039051094890511</v>
      </c>
      <c r="K36" s="22">
        <f t="shared" si="1"/>
        <v>9.7347417840375594E-2</v>
      </c>
      <c r="L36" s="35"/>
    </row>
    <row r="37" spans="9:12" ht="20.100000000000001" customHeight="1">
      <c r="I37" s="8">
        <f t="shared" si="0"/>
        <v>37960</v>
      </c>
      <c r="J37" s="24">
        <f t="shared" si="1"/>
        <v>0.10580617495711836</v>
      </c>
      <c r="K37" s="22">
        <f t="shared" si="1"/>
        <v>9.9528763769889839E-2</v>
      </c>
      <c r="L37" s="35"/>
    </row>
    <row r="38" spans="9:12" ht="20.100000000000001" customHeight="1">
      <c r="I38" s="8">
        <f t="shared" si="0"/>
        <v>39420</v>
      </c>
      <c r="J38" s="24">
        <f t="shared" si="1"/>
        <v>0.10762951554186503</v>
      </c>
      <c r="K38" s="22">
        <f t="shared" si="1"/>
        <v>0.1016147859922179</v>
      </c>
      <c r="L38" s="35"/>
    </row>
    <row r="39" spans="9:12" ht="20.100000000000001" customHeight="1">
      <c r="I39" s="8">
        <f t="shared" si="0"/>
        <v>40880</v>
      </c>
      <c r="J39" s="24">
        <f t="shared" si="1"/>
        <v>0.10937980241492866</v>
      </c>
      <c r="K39" s="22">
        <f t="shared" si="1"/>
        <v>0.1036115992970123</v>
      </c>
      <c r="L39" s="35"/>
    </row>
    <row r="40" spans="9:12" ht="20.100000000000001" customHeight="1">
      <c r="I40" s="8">
        <f t="shared" si="0"/>
        <v>42340</v>
      </c>
      <c r="J40" s="24">
        <f t="shared" si="1"/>
        <v>0.11106133979015334</v>
      </c>
      <c r="K40" s="22">
        <f t="shared" si="1"/>
        <v>0.10552480642386006</v>
      </c>
      <c r="L40" s="35"/>
    </row>
    <row r="41" spans="9:12" ht="20.100000000000001" customHeight="1">
      <c r="I41" s="8">
        <f t="shared" si="0"/>
        <v>43800</v>
      </c>
      <c r="J41" s="24">
        <f t="shared" si="1"/>
        <v>0.11267810026385225</v>
      </c>
      <c r="K41" s="22">
        <f t="shared" si="1"/>
        <v>0.10735955056179776</v>
      </c>
      <c r="L41" s="35"/>
    </row>
    <row r="42" spans="9:12" ht="20.100000000000001" customHeight="1">
      <c r="I42" s="8">
        <f t="shared" si="0"/>
        <v>45260</v>
      </c>
      <c r="J42" s="24">
        <f t="shared" si="1"/>
        <v>0.11423375614807146</v>
      </c>
      <c r="K42" s="22">
        <f t="shared" si="1"/>
        <v>0.10912056151940545</v>
      </c>
      <c r="L42" s="35"/>
    </row>
    <row r="43" spans="9:12" ht="20.100000000000001" customHeight="1">
      <c r="I43" s="8">
        <f t="shared" si="0"/>
        <v>46720</v>
      </c>
      <c r="J43" s="24">
        <f t="shared" si="1"/>
        <v>0.11573170731707318</v>
      </c>
      <c r="K43" s="22">
        <f t="shared" si="1"/>
        <v>0.1108121964382083</v>
      </c>
      <c r="L43" s="35"/>
    </row>
    <row r="44" spans="9:12" ht="20.100000000000001" customHeight="1">
      <c r="I44" s="8">
        <f t="shared" si="0"/>
        <v>48180</v>
      </c>
      <c r="J44" s="24">
        <f t="shared" ref="J44:K61" si="2">IFERROR(IF((J$5+1)/(J$5+($J$4/($I44-J$8)))*J$6&lt;=IF(J$7&lt;&gt;"N",J$6,999),IF((J$5+1)/(J$5+($J$4/($I44-J$8)))*J$6&gt;=0,(J$5+1)/(J$5+($J$4/($I44-J$8)))*J$6,0),J$6),0)</f>
        <v>0.1171751060114742</v>
      </c>
      <c r="K44" s="22">
        <f t="shared" si="2"/>
        <v>0.11243847578724529</v>
      </c>
      <c r="L44" s="35"/>
    </row>
    <row r="45" spans="9:12" ht="20.100000000000001" customHeight="1">
      <c r="I45" s="8">
        <f t="shared" si="0"/>
        <v>49640</v>
      </c>
      <c r="J45" s="24">
        <f t="shared" si="2"/>
        <v>0.11856687898089173</v>
      </c>
      <c r="K45" s="22">
        <f t="shared" si="2"/>
        <v>0.11400311526479752</v>
      </c>
      <c r="L45" s="35"/>
    </row>
    <row r="46" spans="9:12" ht="20.100000000000001" customHeight="1">
      <c r="I46" s="8">
        <f t="shared" si="0"/>
        <v>51100</v>
      </c>
      <c r="J46" s="24">
        <f t="shared" si="2"/>
        <v>0.11990974729241878</v>
      </c>
      <c r="K46" s="22">
        <f t="shared" si="2"/>
        <v>0.1155095541401274</v>
      </c>
      <c r="L46" s="35"/>
    </row>
    <row r="47" spans="9:12" ht="20.100000000000001" customHeight="1">
      <c r="I47" s="8">
        <f t="shared" si="0"/>
        <v>52560</v>
      </c>
      <c r="J47" s="24">
        <f t="shared" si="2"/>
        <v>0.1212062440870388</v>
      </c>
      <c r="K47" s="22">
        <f t="shared" si="2"/>
        <v>0.11696098049024513</v>
      </c>
      <c r="L47" s="35"/>
    </row>
    <row r="48" spans="9:12" ht="20.100000000000001" customHeight="1">
      <c r="I48" s="8">
        <f t="shared" si="0"/>
        <v>54020</v>
      </c>
      <c r="J48" s="24">
        <f t="shared" si="2"/>
        <v>0.12245873052778423</v>
      </c>
      <c r="K48" s="22">
        <f t="shared" si="2"/>
        <v>0.11836035372144436</v>
      </c>
      <c r="L48" s="35"/>
    </row>
    <row r="49" spans="9:12" ht="20.100000000000001" customHeight="1">
      <c r="I49" s="8">
        <f t="shared" si="0"/>
        <v>55480</v>
      </c>
      <c r="J49" s="24">
        <f t="shared" si="2"/>
        <v>0.12366941015089164</v>
      </c>
      <c r="K49" s="22">
        <f t="shared" si="2"/>
        <v>0.11971042471042471</v>
      </c>
      <c r="L49" s="35"/>
    </row>
    <row r="50" spans="9:12" ht="20.100000000000001" customHeight="1">
      <c r="I50" s="8">
        <f t="shared" si="0"/>
        <v>56940</v>
      </c>
      <c r="J50" s="24">
        <f t="shared" si="2"/>
        <v>0.12484034180346301</v>
      </c>
      <c r="K50" s="22">
        <f t="shared" si="2"/>
        <v>0.12101375385345031</v>
      </c>
      <c r="L50" s="35"/>
    </row>
    <row r="51" spans="9:12" ht="20.100000000000001" customHeight="1">
      <c r="I51" s="8">
        <f t="shared" si="0"/>
        <v>58400</v>
      </c>
      <c r="J51" s="24">
        <f t="shared" si="2"/>
        <v>0.12597345132743365</v>
      </c>
      <c r="K51" s="22">
        <f t="shared" si="2"/>
        <v>0.12227272727272727</v>
      </c>
      <c r="L51" s="35"/>
    </row>
    <row r="52" spans="9:12" ht="20.100000000000001" customHeight="1">
      <c r="I52" s="8">
        <f t="shared" si="0"/>
        <v>59860</v>
      </c>
      <c r="J52" s="24">
        <f t="shared" si="2"/>
        <v>0.12707054212932722</v>
      </c>
      <c r="K52" s="22">
        <f t="shared" si="2"/>
        <v>0.12348957139582856</v>
      </c>
      <c r="L52" s="35"/>
    </row>
    <row r="53" spans="9:12" ht="20.100000000000001" customHeight="1">
      <c r="I53" s="8">
        <f t="shared" si="0"/>
        <v>61320</v>
      </c>
      <c r="J53" s="24">
        <f t="shared" si="2"/>
        <v>0.12813330475782256</v>
      </c>
      <c r="K53" s="22">
        <f t="shared" si="2"/>
        <v>0.1246663660955816</v>
      </c>
      <c r="L53" s="35"/>
    </row>
    <row r="54" spans="9:12" ht="20.100000000000001" customHeight="1">
      <c r="I54" s="8">
        <f t="shared" si="0"/>
        <v>62780</v>
      </c>
      <c r="J54" s="24">
        <f t="shared" si="2"/>
        <v>0.12916332559611735</v>
      </c>
      <c r="K54" s="22">
        <f t="shared" si="2"/>
        <v>0.12580505655355953</v>
      </c>
      <c r="L54" s="35"/>
    </row>
    <row r="55" spans="9:12" ht="20.100000000000001" customHeight="1">
      <c r="I55" s="8">
        <f t="shared" si="0"/>
        <v>64240</v>
      </c>
      <c r="J55" s="24">
        <f t="shared" si="2"/>
        <v>0.13</v>
      </c>
      <c r="K55" s="22">
        <f t="shared" si="2"/>
        <v>0.12690746398952424</v>
      </c>
      <c r="L55" s="35"/>
    </row>
    <row r="56" spans="9:12" ht="20.100000000000001" customHeight="1">
      <c r="I56" s="8">
        <f t="shared" si="0"/>
        <v>65700</v>
      </c>
      <c r="J56" s="24">
        <f t="shared" si="2"/>
        <v>0.13</v>
      </c>
      <c r="K56" s="22">
        <f t="shared" si="2"/>
        <v>0.12797529538131042</v>
      </c>
      <c r="L56" s="35"/>
    </row>
    <row r="57" spans="9:12" ht="20.100000000000001" customHeight="1">
      <c r="I57" s="8">
        <f t="shared" si="0"/>
        <v>67160</v>
      </c>
      <c r="J57" s="24">
        <f t="shared" si="2"/>
        <v>0.13</v>
      </c>
      <c r="K57" s="22">
        <f t="shared" si="2"/>
        <v>0.12901015228426396</v>
      </c>
      <c r="L57" s="35"/>
    </row>
    <row r="58" spans="9:12" ht="20.100000000000001" customHeight="1">
      <c r="I58" s="8">
        <f t="shared" si="0"/>
        <v>68620</v>
      </c>
      <c r="J58" s="24">
        <f t="shared" si="2"/>
        <v>0.13</v>
      </c>
      <c r="K58" s="22">
        <f t="shared" si="2"/>
        <v>0.13</v>
      </c>
      <c r="L58" s="35"/>
    </row>
    <row r="59" spans="9:12" ht="20.100000000000001" customHeight="1">
      <c r="I59" s="8">
        <f t="shared" si="0"/>
        <v>70080</v>
      </c>
      <c r="J59" s="24">
        <f t="shared" si="2"/>
        <v>0.13</v>
      </c>
      <c r="K59" s="22">
        <f t="shared" si="2"/>
        <v>0.13</v>
      </c>
      <c r="L59" s="35"/>
    </row>
    <row r="60" spans="9:12" ht="20.100000000000001" customHeight="1">
      <c r="I60" s="8">
        <f>$I$11+($I$61-$I$11)/(ROW($I$61)-ROW($I$11))*(ROW($I60)-ROW($I$11))</f>
        <v>71540</v>
      </c>
      <c r="J60" s="24">
        <f t="shared" si="2"/>
        <v>0.13</v>
      </c>
      <c r="K60" s="22">
        <f t="shared" si="2"/>
        <v>0.13</v>
      </c>
      <c r="L60" s="35"/>
    </row>
    <row r="61" spans="9:12" ht="20.100000000000001" customHeight="1">
      <c r="I61" s="9">
        <f>$D$21</f>
        <v>73000</v>
      </c>
      <c r="J61" s="24">
        <f t="shared" si="2"/>
        <v>0.13</v>
      </c>
      <c r="K61" s="22">
        <f t="shared" si="2"/>
        <v>0.13</v>
      </c>
      <c r="L61" s="35"/>
    </row>
    <row r="62" spans="9:12" ht="20.100000000000001" customHeight="1">
      <c r="I62" s="1"/>
    </row>
  </sheetData>
  <mergeCells count="2">
    <mergeCell ref="B1:G1"/>
    <mergeCell ref="B21:C21"/>
  </mergeCells>
  <conditionalFormatting sqref="B3:G6">
    <cfRule type="expression" dxfId="6" priority="1">
      <formula>AND($J$1&gt;=$B3,$J$1&lt;=$C3)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Jens S</cp:lastModifiedBy>
  <cp:revision/>
  <dcterms:created xsi:type="dcterms:W3CDTF">2011-03-24T14:09:52Z</dcterms:created>
  <dcterms:modified xsi:type="dcterms:W3CDTF">2017-08-27T15:52:59Z</dcterms:modified>
  <cp:category/>
  <cp:contentStatus/>
</cp:coreProperties>
</file>